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7C590121-650A-4F0E-B3A4-80544C66BCF2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H38" i="2"/>
  <c r="I38" i="2" s="1"/>
  <c r="G38" i="2"/>
  <c r="H11" i="2"/>
  <c r="I11" i="2" s="1"/>
  <c r="G11" i="2"/>
  <c r="H10" i="2"/>
  <c r="G10" i="2"/>
  <c r="H9" i="2"/>
  <c r="I9" i="2" s="1"/>
  <c r="G9" i="2"/>
  <c r="H8" i="2"/>
  <c r="G8" i="2"/>
  <c r="I8" i="2" s="1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H2" i="2"/>
  <c r="G2" i="2"/>
  <c r="I2" i="2" s="1"/>
  <c r="A2" i="2"/>
  <c r="A31" i="2" s="1"/>
  <c r="C33" i="1"/>
  <c r="C20" i="1"/>
  <c r="A19" i="2" l="1"/>
  <c r="A30" i="2"/>
  <c r="A32" i="2"/>
  <c r="A22" i="2"/>
  <c r="A33" i="2"/>
  <c r="A39" i="2"/>
  <c r="A3" i="2"/>
  <c r="A4" i="2" s="1"/>
  <c r="A5" i="2" s="1"/>
  <c r="A6" i="2" s="1"/>
  <c r="A7" i="2" s="1"/>
  <c r="A8" i="2" s="1"/>
  <c r="A9" i="2" s="1"/>
  <c r="A10" i="2" s="1"/>
  <c r="A11" i="2" s="1"/>
  <c r="A13" i="2"/>
  <c r="A24" i="2"/>
  <c r="A34" i="2"/>
  <c r="I39" i="2"/>
  <c r="A35" i="2"/>
  <c r="A16" i="2"/>
  <c r="A21" i="2"/>
  <c r="A25" i="2"/>
  <c r="I10" i="2"/>
  <c r="A17" i="2"/>
  <c r="A27" i="2"/>
  <c r="A38" i="2"/>
  <c r="A14" i="2"/>
  <c r="A26" i="2"/>
  <c r="A37" i="2"/>
  <c r="A40" i="2"/>
  <c r="I4" i="2"/>
  <c r="A18" i="2"/>
  <c r="A29" i="2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<sst xmlns="http://schemas.openxmlformats.org/spreadsheetml/2006/main" count="2092" uniqueCount="337">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</sst>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101885.40625</v>
      </c>
    </row>
    <row r="8" spans="1:3" ht="15" customHeight="1" x14ac:dyDescent="0.25">
      <c r="B8" s="5" t="s">
        <v>19</v>
      </c>
      <c r="C8" s="44">
        <v>0.251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0.81408699039999999</v>
      </c>
    </row>
    <row r="11" spans="1:3" ht="15" customHeight="1" x14ac:dyDescent="0.25">
      <c r="B11" s="5" t="s">
        <v>22</v>
      </c>
      <c r="C11" s="45">
        <v>0.68900000000000006</v>
      </c>
    </row>
    <row r="12" spans="1:3" ht="15" customHeight="1" x14ac:dyDescent="0.25">
      <c r="B12" s="5" t="s">
        <v>23</v>
      </c>
      <c r="C12" s="45">
        <v>0.79</v>
      </c>
    </row>
    <row r="13" spans="1:3" ht="15" customHeight="1" x14ac:dyDescent="0.25">
      <c r="B13" s="5" t="s">
        <v>24</v>
      </c>
      <c r="C13" s="45">
        <v>0.62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7.0400000000000004E-2</v>
      </c>
    </row>
    <row r="24" spans="1:3" ht="15" customHeight="1" x14ac:dyDescent="0.25">
      <c r="B24" s="15" t="s">
        <v>33</v>
      </c>
      <c r="C24" s="45">
        <v>0.48080000000000001</v>
      </c>
    </row>
    <row r="25" spans="1:3" ht="15" customHeight="1" x14ac:dyDescent="0.25">
      <c r="B25" s="15" t="s">
        <v>34</v>
      </c>
      <c r="C25" s="45">
        <v>0.35560000000000003</v>
      </c>
    </row>
    <row r="26" spans="1:3" ht="15" customHeight="1" x14ac:dyDescent="0.25">
      <c r="B26" s="15" t="s">
        <v>35</v>
      </c>
      <c r="C26" s="45">
        <v>9.3200000000000005E-2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0.22272866450000001</v>
      </c>
    </row>
    <row r="30" spans="1:3" ht="14.25" customHeight="1" x14ac:dyDescent="0.25">
      <c r="B30" s="25" t="s">
        <v>38</v>
      </c>
      <c r="C30" s="99">
        <v>0.11672141079999999</v>
      </c>
    </row>
    <row r="31" spans="1:3" ht="14.25" customHeight="1" x14ac:dyDescent="0.25">
      <c r="B31" s="25" t="s">
        <v>39</v>
      </c>
      <c r="C31" s="99">
        <v>0.1612750433</v>
      </c>
    </row>
    <row r="32" spans="1:3" ht="14.25" customHeight="1" x14ac:dyDescent="0.25">
      <c r="B32" s="25" t="s">
        <v>40</v>
      </c>
      <c r="C32" s="99">
        <v>0.49927488139999998</v>
      </c>
    </row>
    <row r="33" spans="1:5" ht="13" customHeight="1" x14ac:dyDescent="0.25">
      <c r="B33" s="27" t="s">
        <v>41</v>
      </c>
      <c r="C33" s="48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8.2313988469173704</v>
      </c>
    </row>
    <row r="38" spans="1:5" ht="15" customHeight="1" x14ac:dyDescent="0.25">
      <c r="B38" s="11" t="s">
        <v>45</v>
      </c>
      <c r="C38" s="43">
        <v>16.821474809943801</v>
      </c>
      <c r="D38" s="12"/>
      <c r="E38" s="13"/>
    </row>
    <row r="39" spans="1:5" ht="15" customHeight="1" x14ac:dyDescent="0.25">
      <c r="B39" s="11" t="s">
        <v>46</v>
      </c>
      <c r="C39" s="43">
        <v>19.668042471982101</v>
      </c>
      <c r="D39" s="12"/>
      <c r="E39" s="12"/>
    </row>
    <row r="40" spans="1:5" ht="15" customHeight="1" x14ac:dyDescent="0.25">
      <c r="B40" s="11" t="s">
        <v>47</v>
      </c>
      <c r="C40" s="100">
        <v>1.04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10.06249378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6.1034000000000001E-3</v>
      </c>
      <c r="D45" s="12"/>
    </row>
    <row r="46" spans="1:5" ht="15.75" customHeight="1" x14ac:dyDescent="0.25">
      <c r="B46" s="11" t="s">
        <v>52</v>
      </c>
      <c r="C46" s="45">
        <v>7.2153300000000004E-2</v>
      </c>
      <c r="D46" s="12"/>
    </row>
    <row r="47" spans="1:5" ht="15.75" customHeight="1" x14ac:dyDescent="0.25">
      <c r="B47" s="11" t="s">
        <v>53</v>
      </c>
      <c r="C47" s="45">
        <v>8.8595699999999999E-2</v>
      </c>
      <c r="D47" s="12"/>
      <c r="E47" s="13"/>
    </row>
    <row r="48" spans="1:5" ht="15" customHeight="1" x14ac:dyDescent="0.25">
      <c r="B48" s="11" t="s">
        <v>54</v>
      </c>
      <c r="C48" s="46">
        <v>0.8331476000000001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2.2000000000000002</v>
      </c>
      <c r="D51" s="12"/>
    </row>
    <row r="52" spans="1:4" ht="15" customHeight="1" x14ac:dyDescent="0.25">
      <c r="B52" s="11" t="s">
        <v>57</v>
      </c>
      <c r="C52" s="100">
        <v>2.2000000000000002</v>
      </c>
    </row>
    <row r="53" spans="1:4" ht="15.75" customHeight="1" x14ac:dyDescent="0.25">
      <c r="B53" s="11" t="s">
        <v>58</v>
      </c>
      <c r="C53" s="100">
        <v>2.2000000000000002</v>
      </c>
    </row>
    <row r="54" spans="1:4" ht="15.75" customHeight="1" x14ac:dyDescent="0.25">
      <c r="B54" s="11" t="s">
        <v>59</v>
      </c>
      <c r="C54" s="100">
        <v>2.2000000000000002</v>
      </c>
    </row>
    <row r="55" spans="1:4" ht="15.75" customHeight="1" x14ac:dyDescent="0.25">
      <c r="B55" s="11" t="s">
        <v>60</v>
      </c>
      <c r="C55" s="100">
        <v>2.2000000000000002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2.1363636363636359E-2</v>
      </c>
    </row>
    <row r="59" spans="1:4" ht="15.75" customHeight="1" x14ac:dyDescent="0.25">
      <c r="B59" s="11" t="s">
        <v>63</v>
      </c>
      <c r="C59" s="45">
        <v>0.54101599999999994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x8C8FR5hp+ifU2p+RLvqK9Rn24+bQLZWnDZxGfdPorfZAev2IJk/+Y64KCVLTnrxzW3OL7b9h+WyWKwFJKkjNw==" saltValue="1aMAOAcbZ48vG6HgFhEcM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</v>
      </c>
      <c r="C2" s="98">
        <v>0.95</v>
      </c>
      <c r="D2" s="56">
        <v>44.388781579401957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44.84912601313826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200.54836433279559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0.94987178533966066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14.37418788225863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14.37418788225863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14.37418788225863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14.37418788225863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14.37418788225863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14.37418788225863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</v>
      </c>
      <c r="C16" s="98">
        <v>0.95</v>
      </c>
      <c r="D16" s="56">
        <v>0.42998861651827419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0.85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4.6877241811456267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4.6877241811456267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0.29399999999999998</v>
      </c>
      <c r="C21" s="98">
        <v>0.95</v>
      </c>
      <c r="D21" s="56">
        <v>8.3654863902487371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24.603396778891561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4.7742338241318913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</v>
      </c>
      <c r="C27" s="98">
        <v>0.95</v>
      </c>
      <c r="D27" s="56">
        <v>20.640466451977151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0.377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82.515341030888564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4.6956398181241168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0.88473850018384426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0.335283536272378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7.400000000000001E-2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5.5596741637734697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0.36899999999999999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3+1r4jXj3DyVP4oxYveH/1xL2/Jx81aSugkSPz4lhQPraR4I/G6YktY4qqEufUbbzy/GOu7blEwKUoXpTlIQ1Q==" saltValue="ecCUGdhKP8HTfrmipqiw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DLTR3AS+Tfjr2ok9Wx/TPXb+xAr9MGwvZJiFn5nAZOPVa69LrWZmLMI4NTlaBGinPaT57u6Bs5z0/Ie8NtZCYA==" saltValue="GNSQRQ5VfMO5m54wrlvXR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XOgSjhRoHcdaM3W8RJCnha0YJ+wZx2B1jNKA5swQ6k2UL+NnxuiryQgETVIjVf+CiPpcaxZJdae92aYftQ1VzA==" saltValue="YzFVTpEAVZ2goKstVxBb0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2.2000000000000002</v>
      </c>
      <c r="C2" s="21">
        <f>'Données pop de l''année de ref'!C52</f>
        <v>2.2000000000000002</v>
      </c>
      <c r="D2" s="21">
        <f>'Données pop de l''année de ref'!C53</f>
        <v>2.2000000000000002</v>
      </c>
      <c r="E2" s="21">
        <f>'Données pop de l''année de ref'!C54</f>
        <v>2.2000000000000002</v>
      </c>
      <c r="F2" s="21">
        <f>'Données pop de l''année de ref'!C55</f>
        <v>2.2000000000000002</v>
      </c>
    </row>
    <row r="3" spans="1:6" ht="15.75" customHeight="1" x14ac:dyDescent="0.25">
      <c r="A3" s="3" t="s">
        <v>209</v>
      </c>
      <c r="B3" s="21">
        <f>frac_mam_1month * 2.6</f>
        <v>0.21687307823148139</v>
      </c>
      <c r="C3" s="21">
        <f>frac_mam_1_5months * 2.6</f>
        <v>0.21687307823148139</v>
      </c>
      <c r="D3" s="21">
        <f>frac_mam_6_11months * 2.6</f>
        <v>0.22747089326963613</v>
      </c>
      <c r="E3" s="21">
        <f>frac_mam_12_23months * 2.6</f>
        <v>0.22028677790591786</v>
      </c>
      <c r="F3" s="21">
        <f>frac_mam_24_59months * 2.6</f>
        <v>0.16292941521529739</v>
      </c>
    </row>
    <row r="4" spans="1:6" ht="15.75" customHeight="1" x14ac:dyDescent="0.25">
      <c r="A4" s="3" t="s">
        <v>208</v>
      </c>
      <c r="B4" s="21">
        <f>frac_sam_1month * 2.6</f>
        <v>0.13623622441047503</v>
      </c>
      <c r="C4" s="21">
        <f>frac_sam_1_5months * 2.6</f>
        <v>0.13623622441047503</v>
      </c>
      <c r="D4" s="21">
        <f>frac_sam_6_11months * 2.6</f>
        <v>0.10579411827841896</v>
      </c>
      <c r="E4" s="21">
        <f>frac_sam_12_23months * 2.6</f>
        <v>8.8618239852306074E-2</v>
      </c>
      <c r="F4" s="21">
        <f>frac_sam_24_59months * 2.6</f>
        <v>5.485610173655768E-2</v>
      </c>
    </row>
  </sheetData>
  <sheetProtection algorithmName="SHA-512" hashValue="J1aTToHd1u2QjfoKiUP72/cD7Y2Q0NYPpDCmD0Xf26sL8jViB4z7ipGzPs/B/9jLr2Hb6XKtj1SS3DJY2Y7U1Q==" saltValue="Ri7hGAjPNUGJYTklGhKPu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0.251</v>
      </c>
      <c r="E2" s="60">
        <f>food_insecure</f>
        <v>0.251</v>
      </c>
      <c r="F2" s="60">
        <f>food_insecure</f>
        <v>0.251</v>
      </c>
      <c r="G2" s="60">
        <f>food_insecure</f>
        <v>0.251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0.251</v>
      </c>
      <c r="F5" s="60">
        <f>food_insecure</f>
        <v>0.251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0.251</v>
      </c>
      <c r="F8" s="60">
        <f>food_insecure</f>
        <v>0.251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0.251</v>
      </c>
      <c r="F9" s="60">
        <f>food_insecure</f>
        <v>0.251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0.79</v>
      </c>
      <c r="E10" s="60">
        <f>IF(ISBLANK(comm_deliv), frac_children_health_facility,1)</f>
        <v>0.79</v>
      </c>
      <c r="F10" s="60">
        <f>IF(ISBLANK(comm_deliv), frac_children_health_facility,1)</f>
        <v>0.79</v>
      </c>
      <c r="G10" s="60">
        <f>IF(ISBLANK(comm_deliv), frac_children_health_facility,1)</f>
        <v>0.79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0.251</v>
      </c>
      <c r="I15" s="60">
        <f>food_insecure</f>
        <v>0.251</v>
      </c>
      <c r="J15" s="60">
        <f>food_insecure</f>
        <v>0.251</v>
      </c>
      <c r="K15" s="60">
        <f>food_insecure</f>
        <v>0.251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0.68900000000000006</v>
      </c>
      <c r="I18" s="60">
        <f>frac_PW_health_facility</f>
        <v>0.68900000000000006</v>
      </c>
      <c r="J18" s="60">
        <f>frac_PW_health_facility</f>
        <v>0.68900000000000006</v>
      </c>
      <c r="K18" s="60">
        <f>frac_PW_health_facility</f>
        <v>0.68900000000000006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0.62</v>
      </c>
      <c r="M24" s="60">
        <f>famplan_unmet_need</f>
        <v>0.62</v>
      </c>
      <c r="N24" s="60">
        <f>famplan_unmet_need</f>
        <v>0.62</v>
      </c>
      <c r="O24" s="60">
        <f>famplan_unmet_need</f>
        <v>0.62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0.10089684944001601</v>
      </c>
      <c r="M25" s="60">
        <f>(1-food_insecure)*(0.49)+food_insecure*(0.7)</f>
        <v>0.54271000000000003</v>
      </c>
      <c r="N25" s="60">
        <f>(1-food_insecure)*(0.49)+food_insecure*(0.7)</f>
        <v>0.54271000000000003</v>
      </c>
      <c r="O25" s="60">
        <f>(1-food_insecure)*(0.49)+food_insecure*(0.7)</f>
        <v>0.54271000000000003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4.3241506902863998E-2</v>
      </c>
      <c r="M26" s="60">
        <f>(1-food_insecure)*(0.21)+food_insecure*(0.3)</f>
        <v>0.23258999999999996</v>
      </c>
      <c r="N26" s="60">
        <f>(1-food_insecure)*(0.21)+food_insecure*(0.3)</f>
        <v>0.23258999999999996</v>
      </c>
      <c r="O26" s="60">
        <f>(1-food_insecure)*(0.21)+food_insecure*(0.3)</f>
        <v>0.23258999999999996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4.1774653257120001E-2</v>
      </c>
      <c r="M27" s="60">
        <f>(1-food_insecure)*(0.3)</f>
        <v>0.22469999999999998</v>
      </c>
      <c r="N27" s="60">
        <f>(1-food_insecure)*(0.3)</f>
        <v>0.22469999999999998</v>
      </c>
      <c r="O27" s="60">
        <f>(1-food_insecure)*(0.3)</f>
        <v>0.22469999999999998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0.8140869904000001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iOnl/0hqXkuowFlTCurs7+H4EvI8lfZFDRRDRdTjNv9Usy3BTh/T69+mAz33HBIdNNx6YZFHiTcv/MmLMb0H3A==" saltValue="uGwBbT1Ak0ueyinVATwom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y1iWDWjHxv6LI6aLa9LoG7cT3hFfeS5CNUnS5WG0MKzDWVk7VUmXaCVpdzIBseOtE8krlB9VVqfZSbQi73+qA==" saltValue="LaGAEelu+mQcq3pRPz5jz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gV0B1C3hvpsxIYHGcm1D5K0MP4wkKRGHF/kKQUWPHMcY1WfeHy5ijVtwaciNdINBy/7uiv3PSOpH7gmc0ymdNw==" saltValue="tqsIgKj6Q0xR2kFKSot9U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YtNGfR1CCb6TDvsdTDNZdQ9v4JFMrkqvm8ImV4bE/xKmXABQHxMIlDfqhooTYItlgC81l2qkbgy1oeSnzlhg1A==" saltValue="ngPADfFMpovcscVbck1ph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Twt/w12MWiVgcroysUaYqBJl/cmefravFTq69tNOZQ+NvyG9p7KEJrcE58oh4XLsKLkj3ihDpf2K6wZBbdBWlw==" saltValue="XyiW+EEYEF4beFYwn0rKd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fpOMuS2v53Y7A/JTziiZbYP4e7O3UwQqOJKejLEpMGa9J3TYkBxx0/VB6X/eC9pQJqLCsqYFfMN0j/rF/mCISg==" saltValue="WEMC1kBssoJQ2OD6Ru/hB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17531.245200000001</v>
      </c>
      <c r="C2" s="49">
        <v>35000</v>
      </c>
      <c r="D2" s="49">
        <v>55000</v>
      </c>
      <c r="E2" s="49">
        <v>905000</v>
      </c>
      <c r="F2" s="49">
        <v>588000</v>
      </c>
      <c r="G2" s="17">
        <f t="shared" ref="G2:G11" si="0">C2+D2+E2+F2</f>
        <v>1583000</v>
      </c>
      <c r="H2" s="17">
        <f t="shared" ref="H2:H11" si="1">(B2 + stillbirth*B2/(1000-stillbirth))/(1-abortion)</f>
        <v>20124.370902487237</v>
      </c>
      <c r="I2" s="17">
        <f t="shared" ref="I2:I11" si="2">G2-H2</f>
        <v>1562875.6290975127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17678.707200000001</v>
      </c>
      <c r="C3" s="50">
        <v>35000</v>
      </c>
      <c r="D3" s="50">
        <v>57000</v>
      </c>
      <c r="E3" s="50">
        <v>939000</v>
      </c>
      <c r="F3" s="50">
        <v>605000</v>
      </c>
      <c r="G3" s="17">
        <f t="shared" si="0"/>
        <v>1636000</v>
      </c>
      <c r="H3" s="17">
        <f t="shared" si="1"/>
        <v>20293.644673298601</v>
      </c>
      <c r="I3" s="17">
        <f t="shared" si="2"/>
        <v>1615706.3553267014</v>
      </c>
    </row>
    <row r="4" spans="1:9" ht="15.75" customHeight="1" x14ac:dyDescent="0.25">
      <c r="A4" s="5">
        <f t="shared" si="3"/>
        <v>2023</v>
      </c>
      <c r="B4" s="49">
        <v>17792.481599999999</v>
      </c>
      <c r="C4" s="50">
        <v>36000</v>
      </c>
      <c r="D4" s="50">
        <v>57000</v>
      </c>
      <c r="E4" s="50">
        <v>975000</v>
      </c>
      <c r="F4" s="50">
        <v>624000</v>
      </c>
      <c r="G4" s="17">
        <f t="shared" si="0"/>
        <v>1692000</v>
      </c>
      <c r="H4" s="17">
        <f t="shared" si="1"/>
        <v>20424.247958957276</v>
      </c>
      <c r="I4" s="17">
        <f t="shared" si="2"/>
        <v>1671575.7520410428</v>
      </c>
    </row>
    <row r="5" spans="1:9" ht="15.75" customHeight="1" x14ac:dyDescent="0.25">
      <c r="A5" s="5">
        <f t="shared" si="3"/>
        <v>2024</v>
      </c>
      <c r="B5" s="49">
        <v>17899.171200000001</v>
      </c>
      <c r="C5" s="50">
        <v>37000</v>
      </c>
      <c r="D5" s="50">
        <v>59000</v>
      </c>
      <c r="E5" s="50">
        <v>1012000</v>
      </c>
      <c r="F5" s="50">
        <v>645000</v>
      </c>
      <c r="G5" s="17">
        <f t="shared" si="0"/>
        <v>1753000</v>
      </c>
      <c r="H5" s="17">
        <f t="shared" si="1"/>
        <v>20546.718499831237</v>
      </c>
      <c r="I5" s="17">
        <f t="shared" si="2"/>
        <v>1732453.2815001688</v>
      </c>
    </row>
    <row r="6" spans="1:9" ht="15.75" customHeight="1" x14ac:dyDescent="0.25">
      <c r="A6" s="5">
        <f t="shared" si="3"/>
        <v>2025</v>
      </c>
      <c r="B6" s="49">
        <v>18024.198</v>
      </c>
      <c r="C6" s="50">
        <v>37000</v>
      </c>
      <c r="D6" s="50">
        <v>61000</v>
      </c>
      <c r="E6" s="50">
        <v>1052000</v>
      </c>
      <c r="F6" s="50">
        <v>667000</v>
      </c>
      <c r="G6" s="17">
        <f t="shared" si="0"/>
        <v>1817000</v>
      </c>
      <c r="H6" s="17">
        <f t="shared" si="1"/>
        <v>20690.238578824319</v>
      </c>
      <c r="I6" s="17">
        <f t="shared" si="2"/>
        <v>1796309.7614211757</v>
      </c>
    </row>
    <row r="7" spans="1:9" ht="15.75" customHeight="1" x14ac:dyDescent="0.25">
      <c r="A7" s="5">
        <f t="shared" si="3"/>
        <v>2026</v>
      </c>
      <c r="B7" s="49">
        <v>18169.488399999998</v>
      </c>
      <c r="C7" s="50">
        <v>38000</v>
      </c>
      <c r="D7" s="50">
        <v>63000</v>
      </c>
      <c r="E7" s="50">
        <v>1093000</v>
      </c>
      <c r="F7" s="50">
        <v>693000</v>
      </c>
      <c r="G7" s="17">
        <f t="shared" si="0"/>
        <v>1887000</v>
      </c>
      <c r="H7" s="17">
        <f t="shared" si="1"/>
        <v>20857.019538466062</v>
      </c>
      <c r="I7" s="17">
        <f t="shared" si="2"/>
        <v>1866142.9804615339</v>
      </c>
    </row>
    <row r="8" spans="1:9" ht="15.75" customHeight="1" x14ac:dyDescent="0.25">
      <c r="A8" s="5">
        <f t="shared" si="3"/>
        <v>2027</v>
      </c>
      <c r="B8" s="49">
        <v>18334.439200000001</v>
      </c>
      <c r="C8" s="50">
        <v>38000</v>
      </c>
      <c r="D8" s="50">
        <v>64000</v>
      </c>
      <c r="E8" s="50">
        <v>1136000</v>
      </c>
      <c r="F8" s="50">
        <v>719000</v>
      </c>
      <c r="G8" s="17">
        <f t="shared" si="0"/>
        <v>1957000</v>
      </c>
      <c r="H8" s="17">
        <f t="shared" si="1"/>
        <v>21046.368956718565</v>
      </c>
      <c r="I8" s="17">
        <f t="shared" si="2"/>
        <v>1935953.6310432814</v>
      </c>
    </row>
    <row r="9" spans="1:9" ht="15.75" customHeight="1" x14ac:dyDescent="0.25">
      <c r="A9" s="5">
        <f t="shared" si="3"/>
        <v>2028</v>
      </c>
      <c r="B9" s="49">
        <v>18493.628400000001</v>
      </c>
      <c r="C9" s="50">
        <v>38000</v>
      </c>
      <c r="D9" s="50">
        <v>65000</v>
      </c>
      <c r="E9" s="50">
        <v>1180000</v>
      </c>
      <c r="F9" s="50">
        <v>748000</v>
      </c>
      <c r="G9" s="17">
        <f t="shared" si="0"/>
        <v>2031000</v>
      </c>
      <c r="H9" s="17">
        <f t="shared" si="1"/>
        <v>21229.104550677985</v>
      </c>
      <c r="I9" s="17">
        <f t="shared" si="2"/>
        <v>2009770.8954493219</v>
      </c>
    </row>
    <row r="10" spans="1:9" ht="15.75" customHeight="1" x14ac:dyDescent="0.25">
      <c r="A10" s="5">
        <f t="shared" si="3"/>
        <v>2029</v>
      </c>
      <c r="B10" s="49">
        <v>18647.056</v>
      </c>
      <c r="C10" s="50">
        <v>39000</v>
      </c>
      <c r="D10" s="50">
        <v>67000</v>
      </c>
      <c r="E10" s="50">
        <v>1225000</v>
      </c>
      <c r="F10" s="50">
        <v>778000</v>
      </c>
      <c r="G10" s="17">
        <f t="shared" si="0"/>
        <v>2109000</v>
      </c>
      <c r="H10" s="17">
        <f t="shared" si="1"/>
        <v>21405.226320344322</v>
      </c>
      <c r="I10" s="17">
        <f t="shared" si="2"/>
        <v>2087594.7736796557</v>
      </c>
    </row>
    <row r="11" spans="1:9" ht="15.75" customHeight="1" x14ac:dyDescent="0.25">
      <c r="A11" s="5">
        <f t="shared" si="3"/>
        <v>2030</v>
      </c>
      <c r="B11" s="49">
        <v>18794.722000000002</v>
      </c>
      <c r="C11" s="50">
        <v>39000</v>
      </c>
      <c r="D11" s="50">
        <v>68000</v>
      </c>
      <c r="E11" s="50">
        <v>1271000</v>
      </c>
      <c r="F11" s="50">
        <v>810000</v>
      </c>
      <c r="G11" s="17">
        <f t="shared" si="0"/>
        <v>2188000</v>
      </c>
      <c r="H11" s="17">
        <f t="shared" si="1"/>
        <v>21574.734265717572</v>
      </c>
      <c r="I11" s="17">
        <f t="shared" si="2"/>
        <v>2166425.2657342823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o0IjWmqgmRqRWPB3Sh/nOSqXzcYXB9nOTEJrE2R/Zk3B2XS1qMT7mhfzpRTxUD2d4NieqT5Pxn9a3xb9xZZVg==" saltValue="+JCQ+A6aUBSTbiy6dRdEt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28.224488666637576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2.722552217009242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3.6455158509888377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1.9084247031368664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1.77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1.77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4.2871293829385273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dyngThF16cCJyePAgKrgZrqxqPrAmy1l6sDHLnaPmdx3JTsryq186TnjA9dFeUcxFbc6/Oc18F7jQhCcpwU5g==" saltValue="YqeXRHPOfciOpJx1KheXeg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y7XTLGfRMcehdlbrpUXV0K5R5+n8Jstr4kHiZPRQ6FgZIRBgdQxlTE8xIL314ggS6nXD6OlxU8CyRdeq6C8vzQ==" saltValue="HGh146tRgN/ypok4nAsG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wvFZJDy+Zdj1f+uk9LO6Ua8hwQ6gXclXCHSRcZnkyYbB3xNI+Hr7cruw8n53k5GROZ5flarA5gnlM8atmKyhXA==" saltValue="l4edXVnCNCnK/Az4dvmnm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0.58640400123549707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0.52900423068321278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0.85398263972330546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0.82247597746352186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0.385230184451893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0.33172822972142291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0.8188174732547493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0.78166304565952383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0.90168620472774641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0.87901444877288715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0.88967150931207806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0.86464500474610451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gBLC0JN5col712HHlEFspcr1GMFgrQjMlIJ3/gr9gnsLckyYNStfNN/SpAht8hspvuYwuWvHfqb1DCyUxzRknA==" saltValue="0S/W8ClP/F0lXvDPwPTjd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gtP+C6/a2uWtAsdX10dj2JntqvL43rin2ftyOp6CksFMnjvFUgNmsfbQB9+wV+UzzfvYlbpbE96eKqRwrBAeFw==" saltValue="1ngYxgPlKSHxzO5hPtcyD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0.50018183236977931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0.57907570827360322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0.57907570827360322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0.56928378045778982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0.56928378045778982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0.56928378045778982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0.56928378045778982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0.61377179430589279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0.61377179430589279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0.61377179430589279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0.61377179430589279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0.60886887763672892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0.68153021676753645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0.68153021676753645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0.67277486910994777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0.67277486910994777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0.67277486910994777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0.67277486910994777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0.71198156682027669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0.71198156682027669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0.71198156682027669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0.71198156682027669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0.31358937305183154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0.38576748670916561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0.38576748670916561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0.37632192635175449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0.37632192635175449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0.37632192635175449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0.37632192635175449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0.42045053671319871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0.42045053671319871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0.42045053671319871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0.42045053671319871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0.47590956242595855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0.55522786189454976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0.55522786189454976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0.54531676265535001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0.54531676265535001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0.54531676265535001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0.54531676265535001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0.59049959049959044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0.59049959049959044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0.59049959049959044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0.59049959049959044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0.9263797695390813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0.94535058402130523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0.94535058402130523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0.94324416360815755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0.94324416360815755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0.94324416360815755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0.94324416360815755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0.95234010103898581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0.95234010103898581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0.95234010103898581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0.95234010103898581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0.81736748252023927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0.86018960644328235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0.86018960644328235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0.85530313992186369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0.85530313992186369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0.85530313992186369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0.85530313992186369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0.87664980880720367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0.87664980880720367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0.87664980880720367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0.87664980880720367</v>
      </c>
    </row>
  </sheetData>
  <sheetProtection algorithmName="SHA-512" hashValue="SCBlSPXZc9b5TQPG7zuNvUJ0FeOUzPRu7rSiPvuHPUcy/OTKNdExhIeq1ZF0GOepGugnKj3ctMFo2a22sto0AA==" saltValue="60v1LXag8eJn62cav54SX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0.74170348707360212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0.7440491335337196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0.745353877631726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0.74788018795272793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0.73527725982053405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0.73440883160208181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0.73499814803082997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0.73961104081900531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0.63699954768152778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0.6398343128608831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0.64141427681702268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0.64447990851450587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0.62927041290066987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0.62823005984573166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0.62893593737451348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0.63447690715147409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0.85554370690879356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0.85705478687511005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0.85789349183517105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0.85951375066778668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0.85138223037876182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0.85081740800339978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0.85120076096774988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0.85419218079688974</v>
      </c>
    </row>
  </sheetData>
  <sheetProtection algorithmName="SHA-512" hashValue="wQQYTU10mxSe7LVi3IqZR7BRhG55r84lslOUbng74xJWGQCFg48uBA+nKJXrIIGFSYIZvORnAxA+VHJpge/doA==" saltValue="s7rs+re4xD9eaZSMi2ZU9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2O34HnBNHeGv0ArdGx4SzDKHRep2fzjVvl8RyEBz5qo4DrIhKvQdfx6RyV+YfkNPqAorJ1HrgZi60NBtUXz4Q==" saltValue="y6mS0plgScYhODDb3FAGI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mgJ+wGdovlqGe7qyV6vzwffM/6WnU8cwe1X9GgfTHGBjwIYL/7tKtf10RBtB4IkRHCwNX37wnakI/RZQxF9nQ==" saltValue="/dpdc6+dy/qDBQXYQLfB6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3.7070744212857679E-3</v>
      </c>
    </row>
    <row r="4" spans="1:8" ht="15.75" customHeight="1" x14ac:dyDescent="0.25">
      <c r="B4" s="19" t="s">
        <v>79</v>
      </c>
      <c r="C4" s="101">
        <v>0.1394976607664126</v>
      </c>
    </row>
    <row r="5" spans="1:8" ht="15.75" customHeight="1" x14ac:dyDescent="0.25">
      <c r="B5" s="19" t="s">
        <v>80</v>
      </c>
      <c r="C5" s="101">
        <v>5.7415039253705571E-2</v>
      </c>
    </row>
    <row r="6" spans="1:8" ht="15.75" customHeight="1" x14ac:dyDescent="0.25">
      <c r="B6" s="19" t="s">
        <v>81</v>
      </c>
      <c r="C6" s="101">
        <v>0.23052996022088171</v>
      </c>
    </row>
    <row r="7" spans="1:8" ht="15.75" customHeight="1" x14ac:dyDescent="0.25">
      <c r="B7" s="19" t="s">
        <v>82</v>
      </c>
      <c r="C7" s="101">
        <v>0.3115882245074395</v>
      </c>
    </row>
    <row r="8" spans="1:8" ht="15.75" customHeight="1" x14ac:dyDescent="0.25">
      <c r="B8" s="19" t="s">
        <v>83</v>
      </c>
      <c r="C8" s="101">
        <v>2.9533757551172672E-3</v>
      </c>
    </row>
    <row r="9" spans="1:8" ht="15.75" customHeight="1" x14ac:dyDescent="0.25">
      <c r="B9" s="19" t="s">
        <v>84</v>
      </c>
      <c r="C9" s="101">
        <v>0.18015935363806429</v>
      </c>
    </row>
    <row r="10" spans="1:8" ht="15.75" customHeight="1" x14ac:dyDescent="0.25">
      <c r="B10" s="19" t="s">
        <v>85</v>
      </c>
      <c r="C10" s="101">
        <v>7.4149311437093163E-2</v>
      </c>
    </row>
    <row r="11" spans="1:8" ht="15.75" customHeight="1" x14ac:dyDescent="0.25">
      <c r="B11" s="27" t="s">
        <v>41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0.123119208994277</v>
      </c>
      <c r="D14" s="55">
        <v>0.123119208994277</v>
      </c>
      <c r="E14" s="55">
        <v>0.123119208994277</v>
      </c>
      <c r="F14" s="55">
        <v>0.123119208994277</v>
      </c>
    </row>
    <row r="15" spans="1:8" ht="15.75" customHeight="1" x14ac:dyDescent="0.25">
      <c r="B15" s="19" t="s">
        <v>88</v>
      </c>
      <c r="C15" s="101">
        <v>0.19589750038172221</v>
      </c>
      <c r="D15" s="101">
        <v>0.19589750038172221</v>
      </c>
      <c r="E15" s="101">
        <v>0.19589750038172221</v>
      </c>
      <c r="F15" s="101">
        <v>0.19589750038172221</v>
      </c>
    </row>
    <row r="16" spans="1:8" ht="15.75" customHeight="1" x14ac:dyDescent="0.25">
      <c r="B16" s="19" t="s">
        <v>89</v>
      </c>
      <c r="C16" s="101">
        <v>2.076683909880999E-2</v>
      </c>
      <c r="D16" s="101">
        <v>2.076683909880999E-2</v>
      </c>
      <c r="E16" s="101">
        <v>2.076683909880999E-2</v>
      </c>
      <c r="F16" s="101">
        <v>2.076683909880999E-2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0.1057692302563011</v>
      </c>
      <c r="D18" s="101">
        <v>0.1057692302563011</v>
      </c>
      <c r="E18" s="101">
        <v>0.1057692302563011</v>
      </c>
      <c r="F18" s="101">
        <v>0.1057692302563011</v>
      </c>
    </row>
    <row r="19" spans="1:8" ht="15.75" customHeight="1" x14ac:dyDescent="0.25">
      <c r="B19" s="19" t="s">
        <v>92</v>
      </c>
      <c r="C19" s="101">
        <v>5.9979071498551292E-2</v>
      </c>
      <c r="D19" s="101">
        <v>5.9979071498551292E-2</v>
      </c>
      <c r="E19" s="101">
        <v>5.9979071498551292E-2</v>
      </c>
      <c r="F19" s="101">
        <v>5.9979071498551292E-2</v>
      </c>
    </row>
    <row r="20" spans="1:8" ht="15.75" customHeight="1" x14ac:dyDescent="0.25">
      <c r="B20" s="19" t="s">
        <v>93</v>
      </c>
      <c r="C20" s="101">
        <v>0</v>
      </c>
      <c r="D20" s="101">
        <v>0</v>
      </c>
      <c r="E20" s="101">
        <v>0</v>
      </c>
      <c r="F20" s="101">
        <v>0</v>
      </c>
    </row>
    <row r="21" spans="1:8" ht="15.75" customHeight="1" x14ac:dyDescent="0.25">
      <c r="B21" s="19" t="s">
        <v>94</v>
      </c>
      <c r="C21" s="101">
        <v>0.14774738296138121</v>
      </c>
      <c r="D21" s="101">
        <v>0.14774738296138121</v>
      </c>
      <c r="E21" s="101">
        <v>0.14774738296138121</v>
      </c>
      <c r="F21" s="101">
        <v>0.14774738296138121</v>
      </c>
    </row>
    <row r="22" spans="1:8" ht="15.75" customHeight="1" x14ac:dyDescent="0.25">
      <c r="B22" s="19" t="s">
        <v>95</v>
      </c>
      <c r="C22" s="101">
        <v>0.3467207668089573</v>
      </c>
      <c r="D22" s="101">
        <v>0.3467207668089573</v>
      </c>
      <c r="E22" s="101">
        <v>0.3467207668089573</v>
      </c>
      <c r="F22" s="101">
        <v>0.3467207668089573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4.7769731000000003E-2</v>
      </c>
    </row>
    <row r="27" spans="1:8" ht="15.75" customHeight="1" x14ac:dyDescent="0.25">
      <c r="B27" s="19" t="s">
        <v>102</v>
      </c>
      <c r="C27" s="101">
        <v>1.8843999E-2</v>
      </c>
    </row>
    <row r="28" spans="1:8" ht="15.75" customHeight="1" x14ac:dyDescent="0.25">
      <c r="B28" s="19" t="s">
        <v>103</v>
      </c>
      <c r="C28" s="101">
        <v>0.22958879300000001</v>
      </c>
    </row>
    <row r="29" spans="1:8" ht="15.75" customHeight="1" x14ac:dyDescent="0.25">
      <c r="B29" s="19" t="s">
        <v>104</v>
      </c>
      <c r="C29" s="101">
        <v>0.13888713499999999</v>
      </c>
    </row>
    <row r="30" spans="1:8" ht="15.75" customHeight="1" x14ac:dyDescent="0.25">
      <c r="B30" s="19" t="s">
        <v>2</v>
      </c>
      <c r="C30" s="101">
        <v>5.0046261000000002E-2</v>
      </c>
    </row>
    <row r="31" spans="1:8" ht="15.75" customHeight="1" x14ac:dyDescent="0.25">
      <c r="B31" s="19" t="s">
        <v>105</v>
      </c>
      <c r="C31" s="101">
        <v>7.1139825000000018E-2</v>
      </c>
    </row>
    <row r="32" spans="1:8" ht="15.75" customHeight="1" x14ac:dyDescent="0.25">
      <c r="B32" s="19" t="s">
        <v>106</v>
      </c>
      <c r="C32" s="101">
        <v>0.14767061300000001</v>
      </c>
    </row>
    <row r="33" spans="2:3" ht="15.75" customHeight="1" x14ac:dyDescent="0.25">
      <c r="B33" s="19" t="s">
        <v>107</v>
      </c>
      <c r="C33" s="101">
        <v>0.123389649</v>
      </c>
    </row>
    <row r="34" spans="2:3" ht="15.75" customHeight="1" x14ac:dyDescent="0.25">
      <c r="B34" s="19" t="s">
        <v>108</v>
      </c>
      <c r="C34" s="101">
        <v>0.17266399499999999</v>
      </c>
    </row>
    <row r="35" spans="2:3" ht="15.75" customHeight="1" x14ac:dyDescent="0.25">
      <c r="B35" s="27" t="s">
        <v>41</v>
      </c>
      <c r="C35" s="48">
        <f>SUM(C26:C34)</f>
        <v>1.0000000010000001</v>
      </c>
    </row>
  </sheetData>
  <sheetProtection algorithmName="SHA-512" hashValue="AiLrEjSb+T7IhZBIK8xl0cN4LWLxK+jm3d1cL34/JewQ0nVOFv6jsu1KTd1/fNZ06RXU3sOaHBWV14TN12RCyA==" saltValue="ZZMW7QKjCUslRLGd81Q4t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0.475058054954691</v>
      </c>
      <c r="D2" s="52">
        <f>IFERROR(1-_xlfn.NORM.DIST(_xlfn.NORM.INV(SUM(D4:D5), 0, 1) + 1, 0, 1, TRUE), "")</f>
        <v>0.475058054954691</v>
      </c>
      <c r="E2" s="52">
        <f>IFERROR(1-_xlfn.NORM.DIST(_xlfn.NORM.INV(SUM(E4:E5), 0, 1) + 1, 0, 1, TRUE), "")</f>
        <v>0.43360856792538005</v>
      </c>
      <c r="F2" s="52">
        <f>IFERROR(1-_xlfn.NORM.DIST(_xlfn.NORM.INV(SUM(F4:F5), 0, 1) + 1, 0, 1, TRUE), "")</f>
        <v>0.25352656323337064</v>
      </c>
      <c r="G2" s="52">
        <f>IFERROR(1-_xlfn.NORM.DIST(_xlfn.NORM.INV(SUM(G4:G5), 0, 1) + 1, 0, 1, TRUE), "")</f>
        <v>0.2216194680768302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0.35067555891294439</v>
      </c>
      <c r="D3" s="52">
        <f>IFERROR(_xlfn.NORM.DIST(_xlfn.NORM.INV(SUM(D4:D5), 0, 1) + 1, 0, 1, TRUE) - SUM(D4:D5), "")</f>
        <v>0.35067555891294439</v>
      </c>
      <c r="E3" s="52">
        <f>IFERROR(_xlfn.NORM.DIST(_xlfn.NORM.INV(SUM(E4:E5), 0, 1) + 1, 0, 1, TRUE) - SUM(E4:E5), "")</f>
        <v>0.36391426034255342</v>
      </c>
      <c r="F3" s="52">
        <f>IFERROR(_xlfn.NORM.DIST(_xlfn.NORM.INV(SUM(F4:F5), 0, 1) + 1, 0, 1, TRUE) - SUM(F4:F5), "")</f>
        <v>0.3782516801061524</v>
      </c>
      <c r="G3" s="52">
        <f>IFERROR(_xlfn.NORM.DIST(_xlfn.NORM.INV(SUM(G4:G5), 0, 1) + 1, 0, 1, TRUE) - SUM(G4:G5), "")</f>
        <v>0.37060261428526581</v>
      </c>
    </row>
    <row r="4" spans="1:15" ht="15.75" customHeight="1" x14ac:dyDescent="0.25">
      <c r="B4" s="5" t="s">
        <v>114</v>
      </c>
      <c r="C4" s="45">
        <v>0.10193014049492501</v>
      </c>
      <c r="D4" s="53">
        <v>0.10193014049492501</v>
      </c>
      <c r="E4" s="53">
        <v>0.12596887628672501</v>
      </c>
      <c r="F4" s="53">
        <v>0.21533782150803599</v>
      </c>
      <c r="G4" s="53">
        <v>0.23684384633384001</v>
      </c>
    </row>
    <row r="5" spans="1:15" ht="15.75" customHeight="1" x14ac:dyDescent="0.25">
      <c r="B5" s="5" t="s">
        <v>115</v>
      </c>
      <c r="C5" s="45">
        <v>7.2336245637439595E-2</v>
      </c>
      <c r="D5" s="53">
        <v>7.2336245637439595E-2</v>
      </c>
      <c r="E5" s="53">
        <v>7.6508295445341504E-2</v>
      </c>
      <c r="F5" s="53">
        <v>0.152883935152441</v>
      </c>
      <c r="G5" s="53">
        <v>0.17093407130406399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0.53956333682015789</v>
      </c>
      <c r="D8" s="52">
        <f>IFERROR(1-_xlfn.NORM.DIST(_xlfn.NORM.INV(SUM(D10:D11), 0, 1) + 1, 0, 1, TRUE), "")</f>
        <v>0.53956333682015789</v>
      </c>
      <c r="E8" s="52">
        <f>IFERROR(1-_xlfn.NORM.DIST(_xlfn.NORM.INV(SUM(E10:E11), 0, 1) + 1, 0, 1, TRUE), "")</f>
        <v>0.55371068519441824</v>
      </c>
      <c r="F8" s="52">
        <f>IFERROR(1-_xlfn.NORM.DIST(_xlfn.NORM.INV(SUM(F10:F11), 0, 1) + 1, 0, 1, TRUE), "")</f>
        <v>0.57179989067807235</v>
      </c>
      <c r="G8" s="52">
        <f>IFERROR(1-_xlfn.NORM.DIST(_xlfn.NORM.INV(SUM(G10:G11), 0, 1) + 1, 0, 1, TRUE), "")</f>
        <v>0.6480988115395635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0.3246253929329358</v>
      </c>
      <c r="D9" s="52">
        <f>IFERROR(_xlfn.NORM.DIST(_xlfn.NORM.INV(SUM(D10:D11), 0, 1) + 1, 0, 1, TRUE) - SUM(D10:D11), "")</f>
        <v>0.3246253929329358</v>
      </c>
      <c r="E9" s="52">
        <f>IFERROR(_xlfn.NORM.DIST(_xlfn.NORM.INV(SUM(E10:E11), 0, 1) + 1, 0, 1, TRUE) - SUM(E10:E11), "")</f>
        <v>0.31811046421017597</v>
      </c>
      <c r="F9" s="52">
        <f>IFERROR(_xlfn.NORM.DIST(_xlfn.NORM.INV(SUM(F10:F11), 0, 1) + 1, 0, 1, TRUE) - SUM(F10:F11), "")</f>
        <v>0.30939048710722616</v>
      </c>
      <c r="G9" s="52">
        <f>IFERROR(_xlfn.NORM.DIST(_xlfn.NORM.INV(SUM(G10:G11), 0, 1) + 1, 0, 1, TRUE) - SUM(G10:G11), "")</f>
        <v>0.26813752809433844</v>
      </c>
    </row>
    <row r="10" spans="1:15" ht="15.75" customHeight="1" x14ac:dyDescent="0.25">
      <c r="B10" s="5" t="s">
        <v>119</v>
      </c>
      <c r="C10" s="45">
        <v>8.3412722396723607E-2</v>
      </c>
      <c r="D10" s="53">
        <v>8.3412722396723607E-2</v>
      </c>
      <c r="E10" s="53">
        <v>8.7488805103706199E-2</v>
      </c>
      <c r="F10" s="53">
        <v>8.4725683809968408E-2</v>
      </c>
      <c r="G10" s="53">
        <v>6.2665159698191295E-2</v>
      </c>
    </row>
    <row r="11" spans="1:15" ht="15.75" customHeight="1" x14ac:dyDescent="0.25">
      <c r="B11" s="5" t="s">
        <v>120</v>
      </c>
      <c r="C11" s="45">
        <v>5.2398547850182699E-2</v>
      </c>
      <c r="D11" s="53">
        <v>5.2398547850182699E-2</v>
      </c>
      <c r="E11" s="53">
        <v>4.0690045491699599E-2</v>
      </c>
      <c r="F11" s="53">
        <v>3.4083938404733102E-2</v>
      </c>
      <c r="G11" s="53">
        <v>2.1098500667906799E-2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0.61941419899999994</v>
      </c>
      <c r="D14" s="54">
        <v>0.61082815785800004</v>
      </c>
      <c r="E14" s="54">
        <v>0.61082815785800004</v>
      </c>
      <c r="F14" s="54">
        <v>0.46499616867100002</v>
      </c>
      <c r="G14" s="54">
        <v>0.46499616867100002</v>
      </c>
      <c r="H14" s="45">
        <v>0.48599999999999999</v>
      </c>
      <c r="I14" s="55">
        <v>0.48599999999999999</v>
      </c>
      <c r="J14" s="55">
        <v>0.48599999999999999</v>
      </c>
      <c r="K14" s="55">
        <v>0.48599999999999999</v>
      </c>
      <c r="L14" s="45">
        <v>0.38200000000000001</v>
      </c>
      <c r="M14" s="55">
        <v>0.38200000000000001</v>
      </c>
      <c r="N14" s="55">
        <v>0.38200000000000001</v>
      </c>
      <c r="O14" s="55">
        <v>0.38200000000000001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0.33511299228618391</v>
      </c>
      <c r="D15" s="52">
        <f t="shared" si="0"/>
        <v>0.33046780665170372</v>
      </c>
      <c r="E15" s="52">
        <f t="shared" si="0"/>
        <v>0.33046780665170372</v>
      </c>
      <c r="F15" s="52">
        <f t="shared" si="0"/>
        <v>0.25157036718970971</v>
      </c>
      <c r="G15" s="52">
        <f t="shared" si="0"/>
        <v>0.25157036718970971</v>
      </c>
      <c r="H15" s="52">
        <f t="shared" si="0"/>
        <v>0.26293377599999995</v>
      </c>
      <c r="I15" s="52">
        <f t="shared" si="0"/>
        <v>0.26293377599999995</v>
      </c>
      <c r="J15" s="52">
        <f t="shared" si="0"/>
        <v>0.26293377599999995</v>
      </c>
      <c r="K15" s="52">
        <f t="shared" si="0"/>
        <v>0.26293377599999995</v>
      </c>
      <c r="L15" s="52">
        <f t="shared" si="0"/>
        <v>0.20666811199999999</v>
      </c>
      <c r="M15" s="52">
        <f t="shared" si="0"/>
        <v>0.20666811199999999</v>
      </c>
      <c r="N15" s="52">
        <f t="shared" si="0"/>
        <v>0.20666811199999999</v>
      </c>
      <c r="O15" s="52">
        <f t="shared" si="0"/>
        <v>0.20666811199999999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a08MhXL+xXWYTWu8an/JD7eallZhpPZAM9keQI59EYXChJvxM49VfEFouk60N43f+0cTh1UIBH+aBJQlP9EvgQ==" saltValue="0bPcY78ymUDmIYUppQf1H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0.62783992564380298</v>
      </c>
      <c r="D2" s="53">
        <v>0.43262884734375001</v>
      </c>
      <c r="E2" s="53"/>
      <c r="F2" s="53"/>
      <c r="G2" s="53"/>
    </row>
    <row r="3" spans="1:7" x14ac:dyDescent="0.25">
      <c r="B3" s="3" t="s">
        <v>130</v>
      </c>
      <c r="C3" s="53">
        <v>0.14720586077719799</v>
      </c>
      <c r="D3" s="53">
        <v>0.177978600203125</v>
      </c>
      <c r="E3" s="53"/>
      <c r="F3" s="53"/>
      <c r="G3" s="53"/>
    </row>
    <row r="4" spans="1:7" x14ac:dyDescent="0.25">
      <c r="B4" s="3" t="s">
        <v>131</v>
      </c>
      <c r="C4" s="53">
        <v>0.18765317901068701</v>
      </c>
      <c r="D4" s="53">
        <v>0.32684205140624989</v>
      </c>
      <c r="E4" s="53">
        <v>0.87710333811609398</v>
      </c>
      <c r="F4" s="53">
        <v>0.70024838180918392</v>
      </c>
      <c r="G4" s="53"/>
    </row>
    <row r="5" spans="1:7" x14ac:dyDescent="0.25">
      <c r="B5" s="3" t="s">
        <v>132</v>
      </c>
      <c r="C5" s="52">
        <v>3.74988743882404E-2</v>
      </c>
      <c r="D5" s="52">
        <v>6.2550492506879399E-2</v>
      </c>
      <c r="E5" s="52">
        <f>1-SUM(E2:E4)</f>
        <v>0.12289666188390602</v>
      </c>
      <c r="F5" s="52">
        <f>1-SUM(F2:F4)</f>
        <v>0.29975161819081608</v>
      </c>
      <c r="G5" s="52">
        <f>1-SUM(G2:G4)</f>
        <v>1</v>
      </c>
    </row>
  </sheetData>
  <sheetProtection algorithmName="SHA-512" hashValue="zi3pwVnIBAXjtGguCpiNqUEcw/YIffqF9U9IiZeAdF4UQXJTk0X/bkOK1NQZWkIoLy+S+JdWN8/nzIxL/53BrA==" saltValue="35VnSymS9nx3KuLJsiHp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w4oGsufZPLDF3QB9asf3EqNo3lQKBYNYSzZYL2ltjiZZVB3M6r4MzDzHD4Tl+UKEWk3B47lwrBSVd8xLO72U6g==" saltValue="PTe0zlCCppSFFzfXq9Y76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h0dzUlJjNN2abnFHZsHYwoH8L+PJseDTjdNu3m3bATlN8xxTlBqs5SM8I907rBGIU1M0lNalM0z7XS+VDZPt4Q==" saltValue="K7ToHPZzWyfezLb73ms+e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fc++oGE3zvmqQfaPtDswOPb2SxVOkFiypmRwosHAeCi6gbpBQQmTgtCPiH1yjkcpVuDvinoXLSsqaL+qm6Y5Mg==" saltValue="yKRAc+3M2q05aXNpx16td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26RaLPUY9hgXT5cTucgBrRv0ZhaxpGUcDUA3xLdF6HSSHMY35OEYK6syYMZGxDG20aXjZ69246MXDI+E7NHW6g==" saltValue="0LqtfRpBy0IaN5qeAFaJi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2024-03-18T01:55:43Z</dcterms:modified>
</cp:coreProperties>
</file>