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144B6EC0-D6EA-431F-9B5A-F80DE5CAAEA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19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1" i="2" s="1"/>
  <c r="C33" i="1"/>
  <c r="C20" i="1"/>
  <c r="A33" i="2" l="1"/>
  <c r="A13" i="2"/>
  <c r="A34" i="2"/>
  <c r="A30" i="2"/>
  <c r="A32" i="2"/>
  <c r="A25" i="2"/>
  <c r="A3" i="2"/>
  <c r="A24" i="2"/>
  <c r="A14" i="2"/>
  <c r="A40" i="2"/>
  <c r="A21" i="2"/>
  <c r="A22" i="2"/>
  <c r="A35" i="2"/>
  <c r="A16" i="2"/>
  <c r="A26" i="2"/>
  <c r="A37" i="2"/>
  <c r="A38" i="2"/>
  <c r="A39" i="2"/>
  <c r="A17" i="2"/>
  <c r="A27" i="2"/>
  <c r="I4" i="2"/>
  <c r="A18" i="2"/>
  <c r="A2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<sst xmlns="http://schemas.openxmlformats.org/spreadsheetml/2006/main" count="2092" uniqueCount="337">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</sst>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1175777.671875</v>
      </c>
    </row>
    <row r="8" spans="1:3" ht="15" customHeight="1" x14ac:dyDescent="0.25">
      <c r="B8" s="5" t="s">
        <v>19</v>
      </c>
      <c r="C8" s="44">
        <v>0.40100000000000002</v>
      </c>
    </row>
    <row r="9" spans="1:3" ht="15" customHeight="1" x14ac:dyDescent="0.25">
      <c r="B9" s="5" t="s">
        <v>20</v>
      </c>
      <c r="C9" s="45">
        <v>0.99900000000000011</v>
      </c>
    </row>
    <row r="10" spans="1:3" ht="15" customHeight="1" x14ac:dyDescent="0.25">
      <c r="B10" s="5" t="s">
        <v>21</v>
      </c>
      <c r="C10" s="45">
        <v>0.369639015197754</v>
      </c>
    </row>
    <row r="11" spans="1:3" ht="15" customHeight="1" x14ac:dyDescent="0.25">
      <c r="B11" s="5" t="s">
        <v>22</v>
      </c>
      <c r="C11" s="45">
        <v>0.76</v>
      </c>
    </row>
    <row r="12" spans="1:3" ht="15" customHeight="1" x14ac:dyDescent="0.25">
      <c r="B12" s="5" t="s">
        <v>23</v>
      </c>
      <c r="C12" s="45">
        <v>0.71700000000000008</v>
      </c>
    </row>
    <row r="13" spans="1:3" ht="15" customHeight="1" x14ac:dyDescent="0.25">
      <c r="B13" s="5" t="s">
        <v>24</v>
      </c>
      <c r="C13" s="45">
        <v>0.625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0.13070000000000001</v>
      </c>
    </row>
    <row r="24" spans="1:3" ht="15" customHeight="1" x14ac:dyDescent="0.25">
      <c r="B24" s="15" t="s">
        <v>33</v>
      </c>
      <c r="C24" s="45">
        <v>0.4617</v>
      </c>
    </row>
    <row r="25" spans="1:3" ht="15" customHeight="1" x14ac:dyDescent="0.25">
      <c r="B25" s="15" t="s">
        <v>34</v>
      </c>
      <c r="C25" s="45">
        <v>0.31919999999999998</v>
      </c>
    </row>
    <row r="26" spans="1:3" ht="15" customHeight="1" x14ac:dyDescent="0.25">
      <c r="B26" s="15" t="s">
        <v>35</v>
      </c>
      <c r="C26" s="45">
        <v>8.8399999999999992E-2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0.21360612100427201</v>
      </c>
    </row>
    <row r="30" spans="1:3" ht="14.25" customHeight="1" x14ac:dyDescent="0.25">
      <c r="B30" s="25" t="s">
        <v>38</v>
      </c>
      <c r="C30" s="99">
        <v>3.5735805600714703E-2</v>
      </c>
    </row>
    <row r="31" spans="1:3" ht="14.25" customHeight="1" x14ac:dyDescent="0.25">
      <c r="B31" s="25" t="s">
        <v>39</v>
      </c>
      <c r="C31" s="99">
        <v>9.1514330381830308E-2</v>
      </c>
    </row>
    <row r="32" spans="1:3" ht="14.25" customHeight="1" x14ac:dyDescent="0.25">
      <c r="B32" s="25" t="s">
        <v>40</v>
      </c>
      <c r="C32" s="99">
        <v>0.65914374301318301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31.178803074694098</v>
      </c>
    </row>
    <row r="38" spans="1:5" ht="15" customHeight="1" x14ac:dyDescent="0.25">
      <c r="B38" s="11" t="s">
        <v>45</v>
      </c>
      <c r="C38" s="43">
        <v>80.921036391288396</v>
      </c>
      <c r="D38" s="12"/>
      <c r="E38" s="13"/>
    </row>
    <row r="39" spans="1:5" ht="15" customHeight="1" x14ac:dyDescent="0.25">
      <c r="B39" s="11" t="s">
        <v>46</v>
      </c>
      <c r="C39" s="43">
        <v>109.236527986754</v>
      </c>
      <c r="D39" s="12"/>
      <c r="E39" s="12"/>
    </row>
    <row r="40" spans="1:5" ht="15" customHeight="1" x14ac:dyDescent="0.25">
      <c r="B40" s="11" t="s">
        <v>47</v>
      </c>
      <c r="C40" s="100">
        <v>11.2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23.723978259999999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2.8589000000000002E-3</v>
      </c>
      <c r="D45" s="12"/>
    </row>
    <row r="46" spans="1:5" ht="15.75" customHeight="1" x14ac:dyDescent="0.25">
      <c r="B46" s="11" t="s">
        <v>52</v>
      </c>
      <c r="C46" s="45">
        <v>8.5493400000000011E-2</v>
      </c>
      <c r="D46" s="12"/>
    </row>
    <row r="47" spans="1:5" ht="15.75" customHeight="1" x14ac:dyDescent="0.25">
      <c r="B47" s="11" t="s">
        <v>53</v>
      </c>
      <c r="C47" s="45">
        <v>0.14246449999999999</v>
      </c>
      <c r="D47" s="12"/>
      <c r="E47" s="13"/>
    </row>
    <row r="48" spans="1:5" ht="15" customHeight="1" x14ac:dyDescent="0.25">
      <c r="B48" s="11" t="s">
        <v>54</v>
      </c>
      <c r="C48" s="46">
        <v>0.76918319999999996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0.45287100000000008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0.144151</v>
      </c>
    </row>
    <row r="63" spans="1:4" ht="15.75" customHeight="1" x14ac:dyDescent="0.3">
      <c r="A63" s="4"/>
    </row>
  </sheetData>
  <sheetProtection algorithmName="SHA-512" hashValue="6ASuPpVp01m+1kPjHyg6zO/sBzAlR0fEuxaBZgjcmav1RtyMhwV4zgQ7+2DvlbVncJc4OqovbM+f/3oeO31IiQ==" saltValue="FiMDEMQrDiuQsC6xZ/jU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0.42837045251630901</v>
      </c>
      <c r="C2" s="98">
        <v>0.95</v>
      </c>
      <c r="D2" s="56">
        <v>34.819261433026043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47.362947514627443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50.52045111826412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0.15284496024175781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15.022196845122521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15.022196845122521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15.022196845122521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15.022196845122521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15.022196845122521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15.022196845122521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0.55787268749657892</v>
      </c>
      <c r="C16" s="98">
        <v>0.95</v>
      </c>
      <c r="D16" s="56">
        <v>0.22477769467930861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1.2741986036609081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1.2741986036609081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0.62068790439999999</v>
      </c>
      <c r="C21" s="98">
        <v>0.95</v>
      </c>
      <c r="D21" s="56">
        <v>1.617657643758611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25.587629641895109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6.3923829799999998E-3</v>
      </c>
      <c r="C23" s="98">
        <v>0.95</v>
      </c>
      <c r="D23" s="56">
        <v>4.9145085291285842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0.75119141414898494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0.59344479951391493</v>
      </c>
      <c r="C27" s="98">
        <v>0.95</v>
      </c>
      <c r="D27" s="56">
        <v>21.711791130794801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0.85267631529999999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60.674348370795308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2.935143539368509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0.49616221999999999</v>
      </c>
      <c r="C32" s="98">
        <v>0.95</v>
      </c>
      <c r="D32" s="56">
        <v>0.41676337027171728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0.156526615756648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0.57786636349999998</v>
      </c>
      <c r="C38" s="98">
        <v>0.95</v>
      </c>
      <c r="D38" s="56">
        <v>3.9579419154138891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0.25069368359999999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ttHKa2QfKFQdw4CMfZoBOv+jbJx/PoLYNUo2F0sf7MjzBeGhB8FJ3I58WcMO5Th/ajPglaAYunw7f6Hru4QHWw==" saltValue="dlni1XE/zyWF18kSrIDg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CqgMyXBvRWUI8rEDd75gCH+DF6V+Xpy9Hx4kLeoVuazD9G+B9u0Xg8qY8LsJsCJDg99zZwDyXBqNCsxAiW8ZoA==" saltValue="GXFYAX2z7+8H/hRsuAlu8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Tt2Ph+vv1H2b0f9N7/DlfJRN/p5Q8B0i8F6thRuheJbnZ1PNw2ahkhaUM46BzoGE9hKjghoLwNOD2CT8uBB8Pw==" saltValue="PPIychTcbkKmkPFo3CbJG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7.7684037600000005E-2</v>
      </c>
      <c r="C3" s="21">
        <f>frac_mam_1_5months * 2.6</f>
        <v>7.7684037600000005E-2</v>
      </c>
      <c r="D3" s="21">
        <f>frac_mam_6_11months * 2.6</f>
        <v>0.24544125319999999</v>
      </c>
      <c r="E3" s="21">
        <f>frac_mam_12_23months * 2.6</f>
        <v>0.19032719420000002</v>
      </c>
      <c r="F3" s="21">
        <f>frac_mam_24_59months * 2.6</f>
        <v>7.6240608600000009E-2</v>
      </c>
    </row>
    <row r="4" spans="1:6" ht="15.75" customHeight="1" x14ac:dyDescent="0.25">
      <c r="A4" s="3" t="s">
        <v>208</v>
      </c>
      <c r="B4" s="21">
        <f>frac_sam_1month * 2.6</f>
        <v>2.9978044200000002E-2</v>
      </c>
      <c r="C4" s="21">
        <f>frac_sam_1_5months * 2.6</f>
        <v>2.9978044200000002E-2</v>
      </c>
      <c r="D4" s="21">
        <f>frac_sam_6_11months * 2.6</f>
        <v>3.2652718800000001E-2</v>
      </c>
      <c r="E4" s="21">
        <f>frac_sam_12_23months * 2.6</f>
        <v>4.3962149400000004E-2</v>
      </c>
      <c r="F4" s="21">
        <f>frac_sam_24_59months * 2.6</f>
        <v>1.4419274480000001E-2</v>
      </c>
    </row>
  </sheetData>
  <sheetProtection algorithmName="SHA-512" hashValue="SOdFSAc2U665PGVYXe44mRw6oap1yggOa45ImIPh6I4PVJPdA/6jBtojVm5pVPai5ED2X/1P0P8WjIZ2WhwPRg==" saltValue="SWsginYUSCtV3hNoqCLS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0.40100000000000002</v>
      </c>
      <c r="E2" s="60">
        <f>food_insecure</f>
        <v>0.40100000000000002</v>
      </c>
      <c r="F2" s="60">
        <f>food_insecure</f>
        <v>0.40100000000000002</v>
      </c>
      <c r="G2" s="60">
        <f>food_insecure</f>
        <v>0.40100000000000002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0.40100000000000002</v>
      </c>
      <c r="F5" s="60">
        <f>food_insecure</f>
        <v>0.40100000000000002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0.40100000000000002</v>
      </c>
      <c r="F8" s="60">
        <f>food_insecure</f>
        <v>0.40100000000000002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0.40100000000000002</v>
      </c>
      <c r="F9" s="60">
        <f>food_insecure</f>
        <v>0.40100000000000002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0.71700000000000008</v>
      </c>
      <c r="E10" s="60">
        <f>IF(ISBLANK(comm_deliv), frac_children_health_facility,1)</f>
        <v>0.71700000000000008</v>
      </c>
      <c r="F10" s="60">
        <f>IF(ISBLANK(comm_deliv), frac_children_health_facility,1)</f>
        <v>0.71700000000000008</v>
      </c>
      <c r="G10" s="60">
        <f>IF(ISBLANK(comm_deliv), frac_children_health_facility,1)</f>
        <v>0.71700000000000008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0.40100000000000002</v>
      </c>
      <c r="I15" s="60">
        <f>food_insecure</f>
        <v>0.40100000000000002</v>
      </c>
      <c r="J15" s="60">
        <f>food_insecure</f>
        <v>0.40100000000000002</v>
      </c>
      <c r="K15" s="60">
        <f>food_insecure</f>
        <v>0.40100000000000002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</v>
      </c>
      <c r="I18" s="60">
        <f>frac_PW_health_facility</f>
        <v>0.76</v>
      </c>
      <c r="J18" s="60">
        <f>frac_PW_health_facility</f>
        <v>0.76</v>
      </c>
      <c r="K18" s="60">
        <f>frac_PW_health_facility</f>
        <v>0.76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0.99900000000000011</v>
      </c>
      <c r="I19" s="60">
        <f>frac_malaria_risk</f>
        <v>0.99900000000000011</v>
      </c>
      <c r="J19" s="60">
        <f>frac_malaria_risk</f>
        <v>0.99900000000000011</v>
      </c>
      <c r="K19" s="60">
        <f>frac_malaria_risk</f>
        <v>0.99900000000000011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0.625</v>
      </c>
      <c r="M24" s="60">
        <f>famplan_unmet_need</f>
        <v>0.625</v>
      </c>
      <c r="N24" s="60">
        <f>famplan_unmet_need</f>
        <v>0.625</v>
      </c>
      <c r="O24" s="60">
        <f>famplan_unmet_need</f>
        <v>0.625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0.36195958108329768</v>
      </c>
      <c r="M25" s="60">
        <f>(1-food_insecure)*(0.49)+food_insecure*(0.7)</f>
        <v>0.57421</v>
      </c>
      <c r="N25" s="60">
        <f>(1-food_insecure)*(0.49)+food_insecure*(0.7)</f>
        <v>0.57421</v>
      </c>
      <c r="O25" s="60">
        <f>(1-food_insecure)*(0.49)+food_insecure*(0.7)</f>
        <v>0.57421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0.15512553474998469</v>
      </c>
      <c r="M26" s="60">
        <f>(1-food_insecure)*(0.21)+food_insecure*(0.3)</f>
        <v>0.24608999999999998</v>
      </c>
      <c r="N26" s="60">
        <f>(1-food_insecure)*(0.21)+food_insecure*(0.3)</f>
        <v>0.24608999999999998</v>
      </c>
      <c r="O26" s="60">
        <f>(1-food_insecure)*(0.21)+food_insecure*(0.3)</f>
        <v>0.24608999999999998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0.11327586896896361</v>
      </c>
      <c r="M27" s="60">
        <f>(1-food_insecure)*(0.3)</f>
        <v>0.1797</v>
      </c>
      <c r="N27" s="60">
        <f>(1-food_insecure)*(0.3)</f>
        <v>0.1797</v>
      </c>
      <c r="O27" s="60">
        <f>(1-food_insecure)*(0.3)</f>
        <v>0.1797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0.369639015197754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0.99900000000000011</v>
      </c>
      <c r="D34" s="60">
        <f t="shared" si="3"/>
        <v>0.99900000000000011</v>
      </c>
      <c r="E34" s="60">
        <f t="shared" si="3"/>
        <v>0.99900000000000011</v>
      </c>
      <c r="F34" s="60">
        <f t="shared" si="3"/>
        <v>0.99900000000000011</v>
      </c>
      <c r="G34" s="60">
        <f t="shared" si="3"/>
        <v>0.99900000000000011</v>
      </c>
      <c r="H34" s="60">
        <f t="shared" si="3"/>
        <v>0.99900000000000011</v>
      </c>
      <c r="I34" s="60">
        <f t="shared" si="3"/>
        <v>0.99900000000000011</v>
      </c>
      <c r="J34" s="60">
        <f t="shared" si="3"/>
        <v>0.99900000000000011</v>
      </c>
      <c r="K34" s="60">
        <f t="shared" si="3"/>
        <v>0.99900000000000011</v>
      </c>
      <c r="L34" s="60">
        <f t="shared" si="3"/>
        <v>0.99900000000000011</v>
      </c>
      <c r="M34" s="60">
        <f t="shared" si="3"/>
        <v>0.99900000000000011</v>
      </c>
      <c r="N34" s="60">
        <f t="shared" si="3"/>
        <v>0.99900000000000011</v>
      </c>
      <c r="O34" s="60">
        <f t="shared" si="3"/>
        <v>0.99900000000000011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y7hrOXI3ec2gibQDVEmRNVqYnTI1WMgOvkFjN8xvecfuC7RgrmePBN8d5C7PvBDD5rigE0qbM8NuElcwcgjbRw==" saltValue="qWN0teb3luoLwlzR4lasw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P03lh7d3fG2FZo/+6oJ7UjeGX2Q7BZTR2XFdvDVSB/lgDvaXnZ8M1C7OPB63jGBqrpZrj//ayBP6LVHBoAuQ6A==" saltValue="JQz+nqiGNCPXTL9EapoQE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seYdTA4VmZIklrPwY24RM5hYEGUOFnZ5c70HjyS18WJo1u0lYyUmRem8OXsDkQKl1Mf5nrGidoTlWORlbbvzA==" saltValue="l3dC7r12Rd2Rrzu15qmF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CVQJ0W0d81M4HR9zo1AJ0+aqAGBQZ8Y2KgEeCAa4sL+rUtv8miw7dKh0nDgeunAWRpxntkSVtPmBcBoYMHmzlw==" saltValue="5A+Eica/26rNTD76qQ9Cf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zS8DWoWNNbxWqpzkmXAGKKw8oWuWH3ORH3/AhOtslQ7n3DGRVGK8Ki2SqZJjDZOky5/2/8SZXHRFmvtIrLFRyA==" saltValue="axjjUktW3cnDkXFEaoVZx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ws03+aIQ/IQSkd1J4eGK0q87dSWSP4aGbpiR9pdB5IeDv1fRA0mFLiq0w7OJ/f/REGyZ23B3IYgHGf/I4QK7w==" saltValue="rma510PxX1MiZB0E94253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265556.87760000001</v>
      </c>
      <c r="C2" s="49">
        <v>460000</v>
      </c>
      <c r="D2" s="49">
        <v>730000</v>
      </c>
      <c r="E2" s="49">
        <v>41000</v>
      </c>
      <c r="F2" s="49">
        <v>35000</v>
      </c>
      <c r="G2" s="17">
        <f t="shared" ref="G2:G11" si="0">C2+D2+E2+F2</f>
        <v>1266000</v>
      </c>
      <c r="H2" s="17">
        <f t="shared" ref="H2:H11" si="1">(B2 + stillbirth*B2/(1000-stillbirth))/(1-abortion)</f>
        <v>309102.31570890278</v>
      </c>
      <c r="I2" s="17">
        <f t="shared" ref="I2:I11" si="2">G2-H2</f>
        <v>956897.68429109722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266760.5232</v>
      </c>
      <c r="C3" s="50">
        <v>471000</v>
      </c>
      <c r="D3" s="50">
        <v>750000</v>
      </c>
      <c r="E3" s="50">
        <v>41000</v>
      </c>
      <c r="F3" s="50">
        <v>36000</v>
      </c>
      <c r="G3" s="17">
        <f t="shared" si="0"/>
        <v>1298000</v>
      </c>
      <c r="H3" s="17">
        <f t="shared" si="1"/>
        <v>310503.3324915042</v>
      </c>
      <c r="I3" s="17">
        <f t="shared" si="2"/>
        <v>987496.66750849574</v>
      </c>
    </row>
    <row r="4" spans="1:9" ht="15.75" customHeight="1" x14ac:dyDescent="0.25">
      <c r="A4" s="5">
        <f t="shared" si="3"/>
        <v>2023</v>
      </c>
      <c r="B4" s="49">
        <v>267801.3468</v>
      </c>
      <c r="C4" s="50">
        <v>482000</v>
      </c>
      <c r="D4" s="50">
        <v>770000</v>
      </c>
      <c r="E4" s="50">
        <v>42000</v>
      </c>
      <c r="F4" s="50">
        <v>36000</v>
      </c>
      <c r="G4" s="17">
        <f t="shared" si="0"/>
        <v>1330000</v>
      </c>
      <c r="H4" s="17">
        <f t="shared" si="1"/>
        <v>311714.82807735406</v>
      </c>
      <c r="I4" s="17">
        <f t="shared" si="2"/>
        <v>1018285.171922646</v>
      </c>
    </row>
    <row r="5" spans="1:9" ht="15.75" customHeight="1" x14ac:dyDescent="0.25">
      <c r="A5" s="5">
        <f t="shared" si="3"/>
        <v>2024</v>
      </c>
      <c r="B5" s="49">
        <v>268710.20980000001</v>
      </c>
      <c r="C5" s="50">
        <v>492000</v>
      </c>
      <c r="D5" s="50">
        <v>790000</v>
      </c>
      <c r="E5" s="50">
        <v>43000</v>
      </c>
      <c r="F5" s="50">
        <v>37000</v>
      </c>
      <c r="G5" s="17">
        <f t="shared" si="0"/>
        <v>1362000</v>
      </c>
      <c r="H5" s="17">
        <f t="shared" si="1"/>
        <v>312772.72445157374</v>
      </c>
      <c r="I5" s="17">
        <f t="shared" si="2"/>
        <v>1049227.2755484262</v>
      </c>
    </row>
    <row r="6" spans="1:9" ht="15.75" customHeight="1" x14ac:dyDescent="0.25">
      <c r="A6" s="5">
        <f t="shared" si="3"/>
        <v>2025</v>
      </c>
      <c r="B6" s="49">
        <v>269485.63199999998</v>
      </c>
      <c r="C6" s="50">
        <v>500000</v>
      </c>
      <c r="D6" s="50">
        <v>810000</v>
      </c>
      <c r="E6" s="50">
        <v>43000</v>
      </c>
      <c r="F6" s="50">
        <v>37000</v>
      </c>
      <c r="G6" s="17">
        <f t="shared" si="0"/>
        <v>1390000</v>
      </c>
      <c r="H6" s="17">
        <f t="shared" si="1"/>
        <v>313675.29869419272</v>
      </c>
      <c r="I6" s="17">
        <f t="shared" si="2"/>
        <v>1076324.7013058073</v>
      </c>
    </row>
    <row r="7" spans="1:9" ht="15.75" customHeight="1" x14ac:dyDescent="0.25">
      <c r="A7" s="5">
        <f t="shared" si="3"/>
        <v>2026</v>
      </c>
      <c r="B7" s="49">
        <v>270491.43</v>
      </c>
      <c r="C7" s="50">
        <v>507000</v>
      </c>
      <c r="D7" s="50">
        <v>832000</v>
      </c>
      <c r="E7" s="50">
        <v>44000</v>
      </c>
      <c r="F7" s="50">
        <v>37000</v>
      </c>
      <c r="G7" s="17">
        <f t="shared" si="0"/>
        <v>1420000</v>
      </c>
      <c r="H7" s="17">
        <f t="shared" si="1"/>
        <v>314846.02525847958</v>
      </c>
      <c r="I7" s="17">
        <f t="shared" si="2"/>
        <v>1105153.9747415204</v>
      </c>
    </row>
    <row r="8" spans="1:9" ht="15.75" customHeight="1" x14ac:dyDescent="0.25">
      <c r="A8" s="5">
        <f t="shared" si="3"/>
        <v>2027</v>
      </c>
      <c r="B8" s="49">
        <v>271374.48200000002</v>
      </c>
      <c r="C8" s="50">
        <v>512000</v>
      </c>
      <c r="D8" s="50">
        <v>853000</v>
      </c>
      <c r="E8" s="50">
        <v>46000</v>
      </c>
      <c r="F8" s="50">
        <v>37000</v>
      </c>
      <c r="G8" s="17">
        <f t="shared" si="0"/>
        <v>1448000</v>
      </c>
      <c r="H8" s="17">
        <f t="shared" si="1"/>
        <v>315873.87820116454</v>
      </c>
      <c r="I8" s="17">
        <f t="shared" si="2"/>
        <v>1132126.1217988355</v>
      </c>
    </row>
    <row r="9" spans="1:9" ht="15.75" customHeight="1" x14ac:dyDescent="0.25">
      <c r="A9" s="5">
        <f t="shared" si="3"/>
        <v>2028</v>
      </c>
      <c r="B9" s="49">
        <v>272104.42</v>
      </c>
      <c r="C9" s="50">
        <v>516000</v>
      </c>
      <c r="D9" s="50">
        <v>874000</v>
      </c>
      <c r="E9" s="50">
        <v>46000</v>
      </c>
      <c r="F9" s="50">
        <v>38000</v>
      </c>
      <c r="G9" s="17">
        <f t="shared" si="0"/>
        <v>1474000</v>
      </c>
      <c r="H9" s="17">
        <f t="shared" si="1"/>
        <v>316723.50984378293</v>
      </c>
      <c r="I9" s="17">
        <f t="shared" si="2"/>
        <v>1157276.490156217</v>
      </c>
    </row>
    <row r="10" spans="1:9" ht="15.75" customHeight="1" x14ac:dyDescent="0.25">
      <c r="A10" s="5">
        <f t="shared" si="3"/>
        <v>2029</v>
      </c>
      <c r="B10" s="49">
        <v>272709.8</v>
      </c>
      <c r="C10" s="50">
        <v>520000</v>
      </c>
      <c r="D10" s="50">
        <v>894000</v>
      </c>
      <c r="E10" s="50">
        <v>48000</v>
      </c>
      <c r="F10" s="50">
        <v>38000</v>
      </c>
      <c r="G10" s="17">
        <f t="shared" si="0"/>
        <v>1500000</v>
      </c>
      <c r="H10" s="17">
        <f t="shared" si="1"/>
        <v>317428.15873698809</v>
      </c>
      <c r="I10" s="17">
        <f t="shared" si="2"/>
        <v>1182571.841263012</v>
      </c>
    </row>
    <row r="11" spans="1:9" ht="15.75" customHeight="1" x14ac:dyDescent="0.25">
      <c r="A11" s="5">
        <f t="shared" si="3"/>
        <v>2030</v>
      </c>
      <c r="B11" s="49">
        <v>273161.15999999997</v>
      </c>
      <c r="C11" s="50">
        <v>525000</v>
      </c>
      <c r="D11" s="50">
        <v>912000</v>
      </c>
      <c r="E11" s="50">
        <v>49000</v>
      </c>
      <c r="F11" s="50">
        <v>38000</v>
      </c>
      <c r="G11" s="17">
        <f t="shared" si="0"/>
        <v>1524000</v>
      </c>
      <c r="H11" s="17">
        <f t="shared" si="1"/>
        <v>317953.5317662211</v>
      </c>
      <c r="I11" s="17">
        <f t="shared" si="2"/>
        <v>1206046.4682337788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cPbmbyaOPSZvy5LqzezGi77eXTax6iA4UucZEEkt+sK9bUt92nIuAjFL45qO8RBwMPOqpFrRRh1cSRKDXBaPOQ==" saltValue="i3NptQY4y4kBdEX9dV6we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3.4780193400984221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3.4780193400984221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2.1553193952816239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2.1553193952816239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7.3222091425111717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7.3222091425111717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DYkePqSynDTn+ojJPVcUcfTInJRtuowLQcoQ+CyH64lcpqimRwI2HEPZfC7hVTNCjJWADbHf6C+WPglwVegzcA==" saltValue="7XVSkQzihZkBiKR2gsfoy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h0DKxB2M1u1XpsCfkIJn1JQ5txdRarMgXrHQevNEbpx5thrAqLW8/9KN0ZFP/uB6QDxTEJC8/3qbvlhM276Rhg==" saltValue="32MlOmfajNhCfo/TMQQW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1vXb5dXuXGrlABF7j5ZO8eOu+c4D1qtVBMIcq0Tf8d6ADHaLsk7+Qk17oS39uOFElNvqBFrgLBZ1g7yubx9Fcw==" saltValue="XulLUZX/weqNNhugOCtr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0.5940512394198062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0.55082806535039142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0.85788148652572449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0.83494443414608976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0.85788148652572449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0.83494443414608976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0.39274516331785192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0.35148702252977376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0.82346116966214444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0.79628803076362342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0.82346116966214444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0.79628803076362342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0.90445381695002602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0.88805240217080983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0.8927371104431705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0.87460326283997114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0.8927371104431705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0.87460326283997114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iuppKOYZPkgw/byqfulduRdHAESKaBkxjlNkf2luJcDP2zOCQ2MdaAtlc/5FE8IyGxMCFw2n8uU1ONNgFcR3jA==" saltValue="75EgaRH2UnkmpHZHg/jP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Q/e+eIffUGSxFTDRIQZeeoh8vn8u4snEfgibOdePd2jTuMNg3zNx8U6InaQ7O88tEwIYCRjs91Nk7x5xhvaVGw==" saltValue="NpfRrDUJ66ari5J/1P8+1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0.2054036876661075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0.30153179535472457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0.30153179535472457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0.5313964386129334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0.5313964386129334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0.5313964386129334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0.5313964386129334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0.57539730680577461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0.57539730680577461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0.57539730680577461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0.57539730680577461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0.28679030012876816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0.40174934724255207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0.40174934724255207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0.6382054992764109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0.6382054992764109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0.6382054992764109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0.6382054992764109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0.67824967824967841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0.67824967824967841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0.67824967824967841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0.67824967824967841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0.10555456190475393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0.16463564689422297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0.16463564689422297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0.34110636835018759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0.34110636835018759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0.34110636835018759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0.34110636835018759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0.38220204679147979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0.38220204679147979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0.38220204679147979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0.38220204679147979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0.18999838028603636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0.28147073809956308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0.28147073809956308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0.50714637752587466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0.50714637752587466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0.50714637752587466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0.50714637752587466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0.55150246673643288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0.55150246673643288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0.55150246673643288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0.55150246673643288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0.7647283969070201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0.8444374665753549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0.8444374665753549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0.93446490595713971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0.93446490595713971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0.93446490595713971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0.93446490595713971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0.94456660322622354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0.94456660322622354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0.94456660322622354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0.94456660322622354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0.53619370168343272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0.65878202919182527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0.65878202919182527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0.83529605534052553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0.83529605534052553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0.83529605534052553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0.83529605534052553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0.85836697117767868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0.85836697117767868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0.85836697117767868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0.85836697117767868</v>
      </c>
    </row>
  </sheetData>
  <sheetProtection algorithmName="SHA-512" hashValue="NUY0tS22h5z4h5ZiwSP0cD6uj5jMH1Tz69IEYpEWiSQ5aH7HSGghMGiGjEcJeYl5CU4lZAAIPUqsQNcXIpVXyA==" saltValue="48fKDlmHUScS+C6xejuU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0.7497098877828603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0.74951444932047384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0.74868468436891789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0.75084074735305151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0.74617757347427771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0.73292317195610945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0.7374278114757753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0.74628591194809979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0.64670552512904655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0.64646758377278934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0.64545793424997822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0.64808332088154375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0.6424128843818796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0.62645255945637368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0.6318509553665077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0.64254429559149695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0.86068421258860195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0.86055931113971051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0.8600287005375733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0.86140635950148192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0.85842230538739828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0.84984978193280325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0.85277842532011694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0.8584918203792562</v>
      </c>
    </row>
  </sheetData>
  <sheetProtection algorithmName="SHA-512" hashValue="2crMOqBNGgl5NN2SqPi2ERoULRZBN+np9qJNRnQ2IfYYcMY2G1qlf9AsP2fnzP7jU+9LUCC7hQKBkrkTHrun5Q==" saltValue="B5rap+OurVOGUclb5yD1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m7ejhMisgf3vZLHmfjh7Np3fKBzkYwtZiOlEcKu5zmmmTlNasUPbeTqt6ztrf59bnrxZaLq5m0IiJL2cL07mvw==" saltValue="2F+Z03ZhQdU7tjqW6mki5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6rz8kOu4IHUdKK/sqRjJe+5lIE55arU1HCd0rPID6XJhJfz9gnAsd3UADKKNx0LZF+YSoVNwaMiRrZBITHcGjw==" saltValue="wOwJos1Q8Ey7aQtRqumGT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6.0455060560639087E-3</v>
      </c>
    </row>
    <row r="4" spans="1:8" ht="15.75" customHeight="1" x14ac:dyDescent="0.25">
      <c r="B4" s="19" t="s">
        <v>79</v>
      </c>
      <c r="C4" s="101">
        <v>0.18647248594266511</v>
      </c>
    </row>
    <row r="5" spans="1:8" ht="15.75" customHeight="1" x14ac:dyDescent="0.25">
      <c r="B5" s="19" t="s">
        <v>80</v>
      </c>
      <c r="C5" s="101">
        <v>6.7726968112574018E-2</v>
      </c>
    </row>
    <row r="6" spans="1:8" ht="15.75" customHeight="1" x14ac:dyDescent="0.25">
      <c r="B6" s="19" t="s">
        <v>81</v>
      </c>
      <c r="C6" s="101">
        <v>0.29658106129734452</v>
      </c>
    </row>
    <row r="7" spans="1:8" ht="15.75" customHeight="1" x14ac:dyDescent="0.25">
      <c r="B7" s="19" t="s">
        <v>82</v>
      </c>
      <c r="C7" s="101">
        <v>0.28922160623902482</v>
      </c>
    </row>
    <row r="8" spans="1:8" ht="15.75" customHeight="1" x14ac:dyDescent="0.25">
      <c r="B8" s="19" t="s">
        <v>83</v>
      </c>
      <c r="C8" s="101">
        <v>9.2014529665193825E-3</v>
      </c>
    </row>
    <row r="9" spans="1:8" ht="15.75" customHeight="1" x14ac:dyDescent="0.25">
      <c r="B9" s="19" t="s">
        <v>84</v>
      </c>
      <c r="C9" s="101">
        <v>5.7863358900644438E-2</v>
      </c>
    </row>
    <row r="10" spans="1:8" ht="15.75" customHeight="1" x14ac:dyDescent="0.25">
      <c r="B10" s="19" t="s">
        <v>85</v>
      </c>
      <c r="C10" s="101">
        <v>8.6887560485163787E-2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0.1213033961879289</v>
      </c>
      <c r="D14" s="55">
        <v>0.1213033961879289</v>
      </c>
      <c r="E14" s="55">
        <v>0.1213033961879289</v>
      </c>
      <c r="F14" s="55">
        <v>0.1213033961879289</v>
      </c>
    </row>
    <row r="15" spans="1:8" ht="15.75" customHeight="1" x14ac:dyDescent="0.25">
      <c r="B15" s="19" t="s">
        <v>88</v>
      </c>
      <c r="C15" s="101">
        <v>0.15605553913012671</v>
      </c>
      <c r="D15" s="101">
        <v>0.15605553913012671</v>
      </c>
      <c r="E15" s="101">
        <v>0.15605553913012671</v>
      </c>
      <c r="F15" s="101">
        <v>0.15605553913012671</v>
      </c>
    </row>
    <row r="16" spans="1:8" ht="15.75" customHeight="1" x14ac:dyDescent="0.25">
      <c r="B16" s="19" t="s">
        <v>89</v>
      </c>
      <c r="C16" s="101">
        <v>1.7671748846637331E-2</v>
      </c>
      <c r="D16" s="101">
        <v>1.7671748846637331E-2</v>
      </c>
      <c r="E16" s="101">
        <v>1.7671748846637331E-2</v>
      </c>
      <c r="F16" s="101">
        <v>1.7671748846637331E-2</v>
      </c>
    </row>
    <row r="17" spans="1:8" ht="15.75" customHeight="1" x14ac:dyDescent="0.25">
      <c r="B17" s="19" t="s">
        <v>90</v>
      </c>
      <c r="C17" s="101">
        <v>3.4738480893323838E-3</v>
      </c>
      <c r="D17" s="101">
        <v>3.4738480893323838E-3</v>
      </c>
      <c r="E17" s="101">
        <v>3.4738480893323838E-3</v>
      </c>
      <c r="F17" s="101">
        <v>3.4738480893323838E-3</v>
      </c>
    </row>
    <row r="18" spans="1:8" ht="15.75" customHeight="1" x14ac:dyDescent="0.25">
      <c r="B18" s="19" t="s">
        <v>91</v>
      </c>
      <c r="C18" s="101">
        <v>0.3146704434723791</v>
      </c>
      <c r="D18" s="101">
        <v>0.3146704434723791</v>
      </c>
      <c r="E18" s="101">
        <v>0.3146704434723791</v>
      </c>
      <c r="F18" s="101">
        <v>0.3146704434723791</v>
      </c>
    </row>
    <row r="19" spans="1:8" ht="15.75" customHeight="1" x14ac:dyDescent="0.25">
      <c r="B19" s="19" t="s">
        <v>92</v>
      </c>
      <c r="C19" s="101">
        <v>1.1540077168291529E-2</v>
      </c>
      <c r="D19" s="101">
        <v>1.1540077168291529E-2</v>
      </c>
      <c r="E19" s="101">
        <v>1.1540077168291529E-2</v>
      </c>
      <c r="F19" s="101">
        <v>1.1540077168291529E-2</v>
      </c>
    </row>
    <row r="20" spans="1:8" ht="15.75" customHeight="1" x14ac:dyDescent="0.25">
      <c r="B20" s="19" t="s">
        <v>93</v>
      </c>
      <c r="C20" s="101">
        <v>4.6558253228392597E-2</v>
      </c>
      <c r="D20" s="101">
        <v>4.6558253228392597E-2</v>
      </c>
      <c r="E20" s="101">
        <v>4.6558253228392597E-2</v>
      </c>
      <c r="F20" s="101">
        <v>4.6558253228392597E-2</v>
      </c>
    </row>
    <row r="21" spans="1:8" ht="15.75" customHeight="1" x14ac:dyDescent="0.25">
      <c r="B21" s="19" t="s">
        <v>94</v>
      </c>
      <c r="C21" s="101">
        <v>6.6656294570803951E-2</v>
      </c>
      <c r="D21" s="101">
        <v>6.6656294570803951E-2</v>
      </c>
      <c r="E21" s="101">
        <v>6.6656294570803951E-2</v>
      </c>
      <c r="F21" s="101">
        <v>6.6656294570803951E-2</v>
      </c>
    </row>
    <row r="22" spans="1:8" ht="15.75" customHeight="1" x14ac:dyDescent="0.25">
      <c r="B22" s="19" t="s">
        <v>95</v>
      </c>
      <c r="C22" s="101">
        <v>0.26207039930610748</v>
      </c>
      <c r="D22" s="101">
        <v>0.26207039930610748</v>
      </c>
      <c r="E22" s="101">
        <v>0.26207039930610748</v>
      </c>
      <c r="F22" s="101">
        <v>0.26207039930610748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8.8541960999999988E-2</v>
      </c>
    </row>
    <row r="27" spans="1:8" ht="15.75" customHeight="1" x14ac:dyDescent="0.25">
      <c r="B27" s="19" t="s">
        <v>102</v>
      </c>
      <c r="C27" s="101">
        <v>8.4139049999999993E-3</v>
      </c>
    </row>
    <row r="28" spans="1:8" ht="15.75" customHeight="1" x14ac:dyDescent="0.25">
      <c r="B28" s="19" t="s">
        <v>103</v>
      </c>
      <c r="C28" s="101">
        <v>0.15592515700000001</v>
      </c>
    </row>
    <row r="29" spans="1:8" ht="15.75" customHeight="1" x14ac:dyDescent="0.25">
      <c r="B29" s="19" t="s">
        <v>104</v>
      </c>
      <c r="C29" s="101">
        <v>0.16923094399999999</v>
      </c>
    </row>
    <row r="30" spans="1:8" ht="15.75" customHeight="1" x14ac:dyDescent="0.25">
      <c r="B30" s="19" t="s">
        <v>2</v>
      </c>
      <c r="C30" s="101">
        <v>0.105940403</v>
      </c>
    </row>
    <row r="31" spans="1:8" ht="15.75" customHeight="1" x14ac:dyDescent="0.25">
      <c r="B31" s="19" t="s">
        <v>105</v>
      </c>
      <c r="C31" s="101">
        <v>0.11097119599999999</v>
      </c>
    </row>
    <row r="32" spans="1:8" ht="15.75" customHeight="1" x14ac:dyDescent="0.25">
      <c r="B32" s="19" t="s">
        <v>106</v>
      </c>
      <c r="C32" s="101">
        <v>1.8550027E-2</v>
      </c>
    </row>
    <row r="33" spans="2:3" ht="15.75" customHeight="1" x14ac:dyDescent="0.25">
      <c r="B33" s="19" t="s">
        <v>107</v>
      </c>
      <c r="C33" s="101">
        <v>8.4407093999999988E-2</v>
      </c>
    </row>
    <row r="34" spans="2:3" ht="15.75" customHeight="1" x14ac:dyDescent="0.25">
      <c r="B34" s="19" t="s">
        <v>108</v>
      </c>
      <c r="C34" s="101">
        <v>0.258019314</v>
      </c>
    </row>
    <row r="35" spans="2:3" ht="15.75" customHeight="1" x14ac:dyDescent="0.25">
      <c r="B35" s="27" t="s">
        <v>41</v>
      </c>
      <c r="C35" s="48">
        <f>SUM(C26:C34)</f>
        <v>1.0000000009999999</v>
      </c>
    </row>
  </sheetData>
  <sheetProtection algorithmName="SHA-512" hashValue="6JVPUoP9Q1eCx/u6azN+EjrRpGes5QIy649i6/J4DQQdrM/8XmBa/jf2GoUyM/qmgL0ncCJCTux+d9UBtaGKBA==" saltValue="GwB6UBmIlg64C7r/Yy15R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0.44673253258575008</v>
      </c>
      <c r="D2" s="52">
        <f>IFERROR(1-_xlfn.NORM.DIST(_xlfn.NORM.INV(SUM(D4:D5), 0, 1) + 1, 0, 1, TRUE), "")</f>
        <v>0.44673253258575008</v>
      </c>
      <c r="E2" s="52">
        <f>IFERROR(1-_xlfn.NORM.DIST(_xlfn.NORM.INV(SUM(E4:E5), 0, 1) + 1, 0, 1, TRUE), "")</f>
        <v>0.47106574192486861</v>
      </c>
      <c r="F2" s="52">
        <f>IFERROR(1-_xlfn.NORM.DIST(_xlfn.NORM.INV(SUM(F4:F5), 0, 1) + 1, 0, 1, TRUE), "")</f>
        <v>0.30688339452612201</v>
      </c>
      <c r="G2" s="52">
        <f>IFERROR(1-_xlfn.NORM.DIST(_xlfn.NORM.INV(SUM(G4:G5), 0, 1) + 1, 0, 1, TRUE), "")</f>
        <v>0.28635238316348455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0.36004405441424991</v>
      </c>
      <c r="D3" s="52">
        <f>IFERROR(_xlfn.NORM.DIST(_xlfn.NORM.INV(SUM(D4:D5), 0, 1) + 1, 0, 1, TRUE) - SUM(D4:D5), "")</f>
        <v>0.36004405441424991</v>
      </c>
      <c r="E3" s="52">
        <f>IFERROR(_xlfn.NORM.DIST(_xlfn.NORM.INV(SUM(E4:E5), 0, 1) + 1, 0, 1, TRUE) - SUM(E4:E5), "")</f>
        <v>0.35207711407513137</v>
      </c>
      <c r="F3" s="52">
        <f>IFERROR(_xlfn.NORM.DIST(_xlfn.NORM.INV(SUM(F4:F5), 0, 1) + 1, 0, 1, TRUE) - SUM(F4:F5), "")</f>
        <v>0.38292102747387802</v>
      </c>
      <c r="G3" s="52">
        <f>IFERROR(_xlfn.NORM.DIST(_xlfn.NORM.INV(SUM(G4:G5), 0, 1) + 1, 0, 1, TRUE) - SUM(G4:G5), "")</f>
        <v>0.38220293683651546</v>
      </c>
    </row>
    <row r="4" spans="1:15" ht="15.75" customHeight="1" x14ac:dyDescent="0.25">
      <c r="B4" s="5" t="s">
        <v>114</v>
      </c>
      <c r="C4" s="45">
        <v>0.11520275000000001</v>
      </c>
      <c r="D4" s="53">
        <v>0.11520275000000001</v>
      </c>
      <c r="E4" s="53">
        <v>0.10485664</v>
      </c>
      <c r="F4" s="53">
        <v>0.21218335999999999</v>
      </c>
      <c r="G4" s="53">
        <v>0.21331613999999999</v>
      </c>
    </row>
    <row r="5" spans="1:15" ht="15.75" customHeight="1" x14ac:dyDescent="0.25">
      <c r="B5" s="5" t="s">
        <v>115</v>
      </c>
      <c r="C5" s="45">
        <v>7.8020663000000004E-2</v>
      </c>
      <c r="D5" s="53">
        <v>7.8020663000000004E-2</v>
      </c>
      <c r="E5" s="53">
        <v>7.2000504000000007E-2</v>
      </c>
      <c r="F5" s="53">
        <v>9.8012217999999998E-2</v>
      </c>
      <c r="G5" s="53">
        <v>0.11812854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0.76869931189758345</v>
      </c>
      <c r="D8" s="52">
        <f>IFERROR(1-_xlfn.NORM.DIST(_xlfn.NORM.INV(SUM(D10:D11), 0, 1) + 1, 0, 1, TRUE), "")</f>
        <v>0.76869931189758345</v>
      </c>
      <c r="E8" s="52">
        <f>IFERROR(1-_xlfn.NORM.DIST(_xlfn.NORM.INV(SUM(E10:E11), 0, 1) + 1, 0, 1, TRUE), "")</f>
        <v>0.59594411157006077</v>
      </c>
      <c r="F8" s="52">
        <f>IFERROR(1-_xlfn.NORM.DIST(_xlfn.NORM.INV(SUM(F10:F11), 0, 1) + 1, 0, 1, TRUE), "")</f>
        <v>0.63309811219006895</v>
      </c>
      <c r="G8" s="52">
        <f>IFERROR(1-_xlfn.NORM.DIST(_xlfn.NORM.INV(SUM(G10:G11), 0, 1) + 1, 0, 1, TRUE), "")</f>
        <v>0.79206471430537706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0.18989219510241656</v>
      </c>
      <c r="D9" s="52">
        <f>IFERROR(_xlfn.NORM.DIST(_xlfn.NORM.INV(SUM(D10:D11), 0, 1) + 1, 0, 1, TRUE) - SUM(D10:D11), "")</f>
        <v>0.18989219510241656</v>
      </c>
      <c r="E9" s="52">
        <f>IFERROR(_xlfn.NORM.DIST(_xlfn.NORM.INV(SUM(E10:E11), 0, 1) + 1, 0, 1, TRUE) - SUM(E10:E11), "")</f>
        <v>0.29709666842993931</v>
      </c>
      <c r="F9" s="52">
        <f>IFERROR(_xlfn.NORM.DIST(_xlfn.NORM.INV(SUM(F10:F11), 0, 1) + 1, 0, 1, TRUE) - SUM(F10:F11), "")</f>
        <v>0.27679060180993104</v>
      </c>
      <c r="G9" s="52">
        <f>IFERROR(_xlfn.NORM.DIST(_xlfn.NORM.INV(SUM(G10:G11), 0, 1) + 1, 0, 1, TRUE) - SUM(G10:G11), "")</f>
        <v>0.17306609989462293</v>
      </c>
    </row>
    <row r="10" spans="1:15" ht="15.75" customHeight="1" x14ac:dyDescent="0.25">
      <c r="B10" s="5" t="s">
        <v>119</v>
      </c>
      <c r="C10" s="45">
        <v>2.9878476000000001E-2</v>
      </c>
      <c r="D10" s="53">
        <v>2.9878476000000001E-2</v>
      </c>
      <c r="E10" s="53">
        <v>9.4400481999999994E-2</v>
      </c>
      <c r="F10" s="53">
        <v>7.3202767000000002E-2</v>
      </c>
      <c r="G10" s="53">
        <v>2.9323311000000001E-2</v>
      </c>
    </row>
    <row r="11" spans="1:15" ht="15.75" customHeight="1" x14ac:dyDescent="0.25">
      <c r="B11" s="5" t="s">
        <v>120</v>
      </c>
      <c r="C11" s="45">
        <v>1.1530017E-2</v>
      </c>
      <c r="D11" s="53">
        <v>1.1530017E-2</v>
      </c>
      <c r="E11" s="53">
        <v>1.2558738E-2</v>
      </c>
      <c r="F11" s="53">
        <v>1.6908519E-2</v>
      </c>
      <c r="G11" s="53">
        <v>5.5458748000000004E-3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0.90340710200000007</v>
      </c>
      <c r="D14" s="54">
        <v>0.89947195748300002</v>
      </c>
      <c r="E14" s="54">
        <v>0.89947195748300002</v>
      </c>
      <c r="F14" s="54">
        <v>0.83211495658599999</v>
      </c>
      <c r="G14" s="54">
        <v>0.83211495658599999</v>
      </c>
      <c r="H14" s="45">
        <v>0.55900000000000016</v>
      </c>
      <c r="I14" s="55">
        <v>0.55900000000000016</v>
      </c>
      <c r="J14" s="55">
        <v>0.55900000000000016</v>
      </c>
      <c r="K14" s="55">
        <v>0.55900000000000016</v>
      </c>
      <c r="L14" s="45">
        <v>0.47299999999999998</v>
      </c>
      <c r="M14" s="55">
        <v>0.47299999999999998</v>
      </c>
      <c r="N14" s="55">
        <v>0.47299999999999998</v>
      </c>
      <c r="O14" s="55">
        <v>0.47299999999999998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0.40912687768984213</v>
      </c>
      <c r="D15" s="52">
        <f t="shared" si="0"/>
        <v>0.40734476485728377</v>
      </c>
      <c r="E15" s="52">
        <f t="shared" si="0"/>
        <v>0.40734476485728377</v>
      </c>
      <c r="F15" s="52">
        <f t="shared" si="0"/>
        <v>0.37684073250405847</v>
      </c>
      <c r="G15" s="52">
        <f t="shared" si="0"/>
        <v>0.37684073250405847</v>
      </c>
      <c r="H15" s="52">
        <f t="shared" si="0"/>
        <v>0.25315488900000011</v>
      </c>
      <c r="I15" s="52">
        <f t="shared" si="0"/>
        <v>0.25315488900000011</v>
      </c>
      <c r="J15" s="52">
        <f t="shared" si="0"/>
        <v>0.25315488900000011</v>
      </c>
      <c r="K15" s="52">
        <f t="shared" si="0"/>
        <v>0.25315488900000011</v>
      </c>
      <c r="L15" s="52">
        <f t="shared" si="0"/>
        <v>0.21420798300000002</v>
      </c>
      <c r="M15" s="52">
        <f t="shared" si="0"/>
        <v>0.21420798300000002</v>
      </c>
      <c r="N15" s="52">
        <f t="shared" si="0"/>
        <v>0.21420798300000002</v>
      </c>
      <c r="O15" s="52">
        <f t="shared" si="0"/>
        <v>0.21420798300000002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TU+7TJjzZ0vIqgcpPjRWlmtrGHNUW/t8XWnwSptjHBssCnSBCCNov4UGI99bDpz4NJmYGnJycCBxsW9AcHn9g==" saltValue="J877prA7nLRbiJN/p4JX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0.77430786130000007</v>
      </c>
      <c r="D2" s="53">
        <v>0.49616221999999999</v>
      </c>
      <c r="E2" s="53"/>
      <c r="F2" s="53"/>
      <c r="G2" s="53"/>
    </row>
    <row r="3" spans="1:7" x14ac:dyDescent="0.25">
      <c r="B3" s="3" t="s">
        <v>130</v>
      </c>
      <c r="C3" s="53">
        <v>0.15446283</v>
      </c>
      <c r="D3" s="53">
        <v>0.24405354000000001</v>
      </c>
      <c r="E3" s="53"/>
      <c r="F3" s="53"/>
      <c r="G3" s="53"/>
    </row>
    <row r="4" spans="1:7" x14ac:dyDescent="0.25">
      <c r="B4" s="3" t="s">
        <v>131</v>
      </c>
      <c r="C4" s="53">
        <v>3.8687203000000003E-2</v>
      </c>
      <c r="D4" s="53">
        <v>0.24085190000000001</v>
      </c>
      <c r="E4" s="53">
        <v>0.94867742061615001</v>
      </c>
      <c r="F4" s="53">
        <v>0.63494080305099498</v>
      </c>
      <c r="G4" s="53"/>
    </row>
    <row r="5" spans="1:7" x14ac:dyDescent="0.25">
      <c r="B5" s="3" t="s">
        <v>132</v>
      </c>
      <c r="C5" s="52">
        <v>3.2542102339999997E-2</v>
      </c>
      <c r="D5" s="52">
        <v>1.8932378999999999E-2</v>
      </c>
      <c r="E5" s="52">
        <f>1-SUM(E2:E4)</f>
        <v>5.1322579383849987E-2</v>
      </c>
      <c r="F5" s="52">
        <f>1-SUM(F2:F4)</f>
        <v>0.36505919694900502</v>
      </c>
      <c r="G5" s="52">
        <f>1-SUM(G2:G4)</f>
        <v>1</v>
      </c>
    </row>
  </sheetData>
  <sheetProtection algorithmName="SHA-512" hashValue="J2nG8vj/6wQho9otVQ/062JehBwOKppRjQndr5q/G+SsYHuVs+MjAKeBeWtdNjcsfuVUAbGKw2IeOkc8OmrgmA==" saltValue="LQL4AAICK0z4Ou6OAXvpg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+5M9XPzX1MGIc7lvBymsWoS0OQFhd7QwrTXb25+u6yt4WTLhvNLZHnvWj5qJ4DPZcS+W1qwNoNoFSzlrkfim1Q==" saltValue="WprM33C4F244OBzLIpo0J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DhlHGcCIuL0ckEItnYL5S5MFOQfF6jzhezQeI1GhJq5/Kt8me3vbLCjwm027+Is0Fg7G8Lk72tJRYz1nZkLcHA==" saltValue="zPJG1x19cp7PMW/Lz+ao5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/r7bbthgcbvuunfkZ2QhyLBW6s7XWO4/pTFyF3B8v+uek59MVyenVmp4TqXDyV3BeE+CPH/doZNwXY0kN+99ow==" saltValue="jKp77jsU+Bzaq78oPySyS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d1qpckiBW0T94KKB/3jq7i+C04yRwIlNSmKDnDkhSm8eYrVAtMC5CnLBUdL/6fG/BDFnWulXFSzLpJu+N4ehQQ==" saltValue="Lopw/WW7DRt75tlKQfRB0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2024-03-18T01:55:45Z</dcterms:modified>
</cp:coreProperties>
</file>