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2EDE6CD2-162A-4DF5-AD79-419B5ED82F26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I39" i="2" s="1"/>
  <c r="H38" i="2"/>
  <c r="G38" i="2"/>
  <c r="I38" i="2" s="1"/>
  <c r="A38" i="2"/>
  <c r="A37" i="2"/>
  <c r="A35" i="2"/>
  <c r="A34" i="2"/>
  <c r="A33" i="2"/>
  <c r="A30" i="2"/>
  <c r="A29" i="2"/>
  <c r="A27" i="2"/>
  <c r="A26" i="2"/>
  <c r="A25" i="2"/>
  <c r="A23" i="2"/>
  <c r="A22" i="2"/>
  <c r="A19" i="2"/>
  <c r="A18" i="2"/>
  <c r="A17" i="2"/>
  <c r="A15" i="2"/>
  <c r="A14" i="2"/>
  <c r="A13" i="2"/>
  <c r="I11" i="2"/>
  <c r="H11" i="2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2" i="2" s="1"/>
  <c r="C33" i="1"/>
  <c r="C20" i="1"/>
  <c r="I8" i="2" l="1"/>
  <c r="A21" i="2"/>
  <c r="A31" i="2"/>
  <c r="A39" i="2"/>
  <c r="A12" i="2"/>
  <c r="A20" i="2"/>
  <c r="A28" i="2"/>
  <c r="A36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<sst xmlns="http://schemas.openxmlformats.org/spreadsheetml/2006/main" count="2092" uniqueCount="337">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</sst>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343625.03515625</v>
      </c>
    </row>
    <row r="8" spans="1:3" ht="15" customHeight="1" x14ac:dyDescent="0.25">
      <c r="B8" s="5" t="s">
        <v>19</v>
      </c>
      <c r="C8" s="44">
        <v>5.5E-2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0.92928009033203096</v>
      </c>
    </row>
    <row r="11" spans="1:3" ht="15" customHeight="1" x14ac:dyDescent="0.25">
      <c r="B11" s="5" t="s">
        <v>22</v>
      </c>
      <c r="C11" s="45">
        <v>0.93900000000000006</v>
      </c>
    </row>
    <row r="12" spans="1:3" ht="15" customHeight="1" x14ac:dyDescent="0.25">
      <c r="B12" s="5" t="s">
        <v>23</v>
      </c>
      <c r="C12" s="45">
        <v>0.89700000000000002</v>
      </c>
    </row>
    <row r="13" spans="1:3" ht="15" customHeight="1" x14ac:dyDescent="0.25">
      <c r="B13" s="5" t="s">
        <v>24</v>
      </c>
      <c r="C13" s="45">
        <v>0.74900000000000011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5.9700000000000003E-2</v>
      </c>
    </row>
    <row r="24" spans="1:3" ht="15" customHeight="1" x14ac:dyDescent="0.25">
      <c r="B24" s="15" t="s">
        <v>33</v>
      </c>
      <c r="C24" s="45">
        <v>0.495</v>
      </c>
    </row>
    <row r="25" spans="1:3" ht="15" customHeight="1" x14ac:dyDescent="0.25">
      <c r="B25" s="15" t="s">
        <v>34</v>
      </c>
      <c r="C25" s="45">
        <v>0.42230000000000001</v>
      </c>
    </row>
    <row r="26" spans="1:3" ht="15" customHeight="1" x14ac:dyDescent="0.25">
      <c r="B26" s="15" t="s">
        <v>35</v>
      </c>
      <c r="C26" s="45">
        <v>2.3E-2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3.2192476903799498</v>
      </c>
    </row>
    <row r="38" spans="1:5" ht="15" customHeight="1" x14ac:dyDescent="0.25">
      <c r="B38" s="11" t="s">
        <v>45</v>
      </c>
      <c r="C38" s="43">
        <v>4.6287359324798301</v>
      </c>
      <c r="D38" s="12"/>
      <c r="E38" s="13"/>
    </row>
    <row r="39" spans="1:5" ht="15" customHeight="1" x14ac:dyDescent="0.25">
      <c r="B39" s="11" t="s">
        <v>46</v>
      </c>
      <c r="C39" s="43">
        <v>5.3157425035678498</v>
      </c>
      <c r="D39" s="12"/>
      <c r="E39" s="12"/>
    </row>
    <row r="40" spans="1:5" ht="15" customHeight="1" x14ac:dyDescent="0.25">
      <c r="B40" s="11" t="s">
        <v>47</v>
      </c>
      <c r="C40" s="100">
        <v>0.12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4.436204139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3.4638999999999998E-3</v>
      </c>
      <c r="D45" s="12"/>
    </row>
    <row r="46" spans="1:5" ht="15.75" customHeight="1" x14ac:dyDescent="0.25">
      <c r="B46" s="11" t="s">
        <v>52</v>
      </c>
      <c r="C46" s="45">
        <v>3.7675E-2</v>
      </c>
      <c r="D46" s="12"/>
    </row>
    <row r="47" spans="1:5" ht="15.75" customHeight="1" x14ac:dyDescent="0.25">
      <c r="B47" s="11" t="s">
        <v>53</v>
      </c>
      <c r="C47" s="45">
        <v>3.40337E-2</v>
      </c>
      <c r="D47" s="12"/>
      <c r="E47" s="13"/>
    </row>
    <row r="48" spans="1:5" ht="15" customHeight="1" x14ac:dyDescent="0.25">
      <c r="B48" s="11" t="s">
        <v>54</v>
      </c>
      <c r="C48" s="46">
        <v>0.92482740000000008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0.62314999999999998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4.5343641999999899E-2</v>
      </c>
    </row>
    <row r="63" spans="1:4" ht="15.75" customHeight="1" x14ac:dyDescent="0.3">
      <c r="A63" s="4"/>
    </row>
  </sheetData>
  <sheetProtection algorithmName="SHA-512" hashValue="e+LEi47mVlzta548QaILaVBx/Vssm63lePpZV7gBUEYkLFQZC6/CPuIOCvFKYJxP7oYDhhTr1jd8EeWM0vs/cw==" saltValue="aMKH6g4ghKalerphy+o3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0.31997748720779601</v>
      </c>
      <c r="C2" s="98">
        <v>0.95</v>
      </c>
      <c r="D2" s="56">
        <v>66.2077864022162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40.063438578113967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542.61982788724652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6.5039724560692287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13.195738021909881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13.195738021909881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13.195738021909881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13.195738021909881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13.195738021909881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13.195738021909881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0.52596165546264995</v>
      </c>
      <c r="C16" s="98">
        <v>0.95</v>
      </c>
      <c r="D16" s="56">
        <v>0.90250382180522548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12.47074045559749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12.47074045559749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0.25723439999999997</v>
      </c>
      <c r="C21" s="98">
        <v>0.95</v>
      </c>
      <c r="D21" s="56">
        <v>68.582775194044444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22.867873379757981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4.8444414140000003E-2</v>
      </c>
      <c r="C23" s="98">
        <v>0.95</v>
      </c>
      <c r="D23" s="56">
        <v>4.3940617735474108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0.79005556354260809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0.283847915193504</v>
      </c>
      <c r="C27" s="98">
        <v>0.95</v>
      </c>
      <c r="D27" s="56">
        <v>18.764182705510279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0.1737744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132.3139429353005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1.1924310040780739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0.21961842000000001</v>
      </c>
      <c r="C32" s="98">
        <v>0.95</v>
      </c>
      <c r="D32" s="56">
        <v>1.956691543072911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0.97567199030962204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2.764629090051816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0.85884819030000004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wIT3/tJVbzVyp8waqkqDtiVcyhIcsxFcKKDXQwxmoTdO2buzRlNCX1bnyLWCsZ1LTJ0fpk1+as0nlcUkjRkPpg==" saltValue="Lvi7SU0bFw8GkHyJi63u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8pj0GP5kZErv/CAW4KV1PfvVv0maIw4fWm4DV3Ej5QBLNrc0Er4mW3RRiqVw1tB0ta2vNPLTKQiJ6hcRnHnmig==" saltValue="HkcgxZH52h8i73fyyF9PM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EsXYNGfDvsr/ZY/nGVNfx6w+q3lG6UkwlOX93YfMAnjLl7BN4MC+vKufc5JQPbo3gWTe6AQOs4yZnif23v1q9A==" saltValue="RaiMZF8qmw3Yjuqjt0LAy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0.17776523180000001</v>
      </c>
      <c r="C3" s="21">
        <f>frac_mam_1_5months * 2.6</f>
        <v>0.17776523180000001</v>
      </c>
      <c r="D3" s="21">
        <f>frac_mam_6_11months * 2.6</f>
        <v>6.6276051400000008E-2</v>
      </c>
      <c r="E3" s="21">
        <f>frac_mam_12_23months * 2.6</f>
        <v>7.6517144600000003E-3</v>
      </c>
      <c r="F3" s="21">
        <f>frac_mam_24_59months * 2.6</f>
        <v>5.2454209599999996E-2</v>
      </c>
    </row>
    <row r="4" spans="1:6" ht="15.75" customHeight="1" x14ac:dyDescent="0.25">
      <c r="A4" s="3" t="s">
        <v>208</v>
      </c>
      <c r="B4" s="21">
        <f>frac_sam_1month * 2.6</f>
        <v>0</v>
      </c>
      <c r="C4" s="21">
        <f>frac_sam_1_5months * 2.6</f>
        <v>0</v>
      </c>
      <c r="D4" s="21">
        <f>frac_sam_6_11months * 2.6</f>
        <v>3.5181104400000003E-2</v>
      </c>
      <c r="E4" s="21">
        <f>frac_sam_12_23months * 2.6</f>
        <v>1.5872004460000002E-2</v>
      </c>
      <c r="F4" s="21">
        <f>frac_sam_24_59months * 2.6</f>
        <v>1.0436327200000001E-2</v>
      </c>
    </row>
  </sheetData>
  <sheetProtection algorithmName="SHA-512" hashValue="rqGP/ZP0xuzQBdBLfJXbJ32xs3FssWuF8d2JQjOuu7SLregWWp81GC1aB5kZIWDDZpRT/KcElULpU4ZEwJWowA==" saltValue="3eBkIk4ubTXJ/mS1kk8w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5.5E-2</v>
      </c>
      <c r="E2" s="60">
        <f>food_insecure</f>
        <v>5.5E-2</v>
      </c>
      <c r="F2" s="60">
        <f>food_insecure</f>
        <v>5.5E-2</v>
      </c>
      <c r="G2" s="60">
        <f>food_insecure</f>
        <v>5.5E-2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5.5E-2</v>
      </c>
      <c r="F5" s="60">
        <f>food_insecure</f>
        <v>5.5E-2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5.5E-2</v>
      </c>
      <c r="F8" s="60">
        <f>food_insecure</f>
        <v>5.5E-2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5.5E-2</v>
      </c>
      <c r="F9" s="60">
        <f>food_insecure</f>
        <v>5.5E-2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0.89700000000000002</v>
      </c>
      <c r="E10" s="60">
        <f>IF(ISBLANK(comm_deliv), frac_children_health_facility,1)</f>
        <v>0.89700000000000002</v>
      </c>
      <c r="F10" s="60">
        <f>IF(ISBLANK(comm_deliv), frac_children_health_facility,1)</f>
        <v>0.89700000000000002</v>
      </c>
      <c r="G10" s="60">
        <f>IF(ISBLANK(comm_deliv), frac_children_health_facility,1)</f>
        <v>0.89700000000000002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5.5E-2</v>
      </c>
      <c r="I15" s="60">
        <f>food_insecure</f>
        <v>5.5E-2</v>
      </c>
      <c r="J15" s="60">
        <f>food_insecure</f>
        <v>5.5E-2</v>
      </c>
      <c r="K15" s="60">
        <f>food_insecure</f>
        <v>5.5E-2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0.93900000000000006</v>
      </c>
      <c r="I18" s="60">
        <f>frac_PW_health_facility</f>
        <v>0.93900000000000006</v>
      </c>
      <c r="J18" s="60">
        <f>frac_PW_health_facility</f>
        <v>0.93900000000000006</v>
      </c>
      <c r="K18" s="60">
        <f>frac_PW_health_facility</f>
        <v>0.93900000000000006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0.74900000000000011</v>
      </c>
      <c r="M24" s="60">
        <f>famplan_unmet_need</f>
        <v>0.74900000000000011</v>
      </c>
      <c r="N24" s="60">
        <f>famplan_unmet_need</f>
        <v>0.74900000000000011</v>
      </c>
      <c r="O24" s="60">
        <f>famplan_unmet_need</f>
        <v>0.74900000000000011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3.5469570693969873E-2</v>
      </c>
      <c r="M25" s="60">
        <f>(1-food_insecure)*(0.49)+food_insecure*(0.7)</f>
        <v>0.50154999999999994</v>
      </c>
      <c r="N25" s="60">
        <f>(1-food_insecure)*(0.49)+food_insecure*(0.7)</f>
        <v>0.50154999999999994</v>
      </c>
      <c r="O25" s="60">
        <f>(1-food_insecure)*(0.49)+food_insecure*(0.7)</f>
        <v>0.50154999999999994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1.5201244583129945E-2</v>
      </c>
      <c r="M26" s="60">
        <f>(1-food_insecure)*(0.21)+food_insecure*(0.3)</f>
        <v>0.21494999999999997</v>
      </c>
      <c r="N26" s="60">
        <f>(1-food_insecure)*(0.21)+food_insecure*(0.3)</f>
        <v>0.21494999999999997</v>
      </c>
      <c r="O26" s="60">
        <f>(1-food_insecure)*(0.21)+food_insecure*(0.3)</f>
        <v>0.21494999999999997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2.0049094390869222E-2</v>
      </c>
      <c r="M27" s="60">
        <f>(1-food_insecure)*(0.3)</f>
        <v>0.28349999999999997</v>
      </c>
      <c r="N27" s="60">
        <f>(1-food_insecure)*(0.3)</f>
        <v>0.28349999999999997</v>
      </c>
      <c r="O27" s="60">
        <f>(1-food_insecure)*(0.3)</f>
        <v>0.28349999999999997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0.92928009033203085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1b9qSPC00NEOwOsBYPB/wrTr3yxOlNQ6E0xXXoXKl6hsr8K3RTEjg/gS/8SclN8YmqpXsObCDtaZuqVKFCDxvQ==" saltValue="XtnCs96m8899sLjvuED5a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k9yvxhEIEdbWdO6n8x8ekKo9dgv9GJi1DeCMDxAYuSHdA+7OxQnQgjyw00mGHf8704lpQwFcfssHmY/lZDEVfw==" saltValue="awwKFVB0BxEtCIbKgo7go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ScIWoacf94TF5VEOqrk/nC6I856vbF7M6rAYlNj80ABd3zITO0Pfmka0w7lQQCy41Rsbk1WEKGHDPBz6I2GUag==" saltValue="+sH/HyhpDfXUWvhR+u4Ks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7SvTaohHYGnOg88Epaut3lcBogirrjinS5iZxKymZ06ksw1Uj443Sh0hNZb6eFkcBcgRaNg3m0RBxQ4Pket0Q==" saltValue="maB8rA59UWQUpVN5qbfxI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we9LJ4o3RVqyZWWMjqLsl5w0THa9M2Fpr0qoh6cn+8tHhlVZcfZ6JWyjmmrEVKaFZYu+2OQ0+tWdXu4HvRQ3cQ==" saltValue="mWOjKX+Bm5OxriHCpUSGP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nG2sZOqanhCZruVnBe8ihjCEY1haUFZFA07tZTWQtqMHKbjyxErC9fJKK0wQm9vNXZIftKRPhm7akKpQ18V0iA==" saltValue="eBaTRp2kmtIgMEsAzdIFX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71953.26920000001</v>
      </c>
      <c r="C2" s="49">
        <v>199000</v>
      </c>
      <c r="D2" s="49">
        <v>417000</v>
      </c>
      <c r="E2" s="49">
        <v>525000</v>
      </c>
      <c r="F2" s="49">
        <v>363000</v>
      </c>
      <c r="G2" s="17">
        <f t="shared" ref="G2:G11" si="0">C2+D2+E2+F2</f>
        <v>1504000</v>
      </c>
      <c r="H2" s="17">
        <f t="shared" ref="H2:H11" si="1">(B2 + stillbirth*B2/(1000-stillbirth))/(1-abortion)</f>
        <v>82129.421516026719</v>
      </c>
      <c r="I2" s="17">
        <f t="shared" ref="I2:I11" si="2">G2-H2</f>
        <v>1421870.5784839732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71344.468800000017</v>
      </c>
      <c r="C3" s="50">
        <v>195000</v>
      </c>
      <c r="D3" s="50">
        <v>412000</v>
      </c>
      <c r="E3" s="50">
        <v>537000</v>
      </c>
      <c r="F3" s="50">
        <v>374000</v>
      </c>
      <c r="G3" s="17">
        <f t="shared" si="0"/>
        <v>1518000</v>
      </c>
      <c r="H3" s="17">
        <f t="shared" si="1"/>
        <v>81434.520155370759</v>
      </c>
      <c r="I3" s="17">
        <f t="shared" si="2"/>
        <v>1436565.4798446293</v>
      </c>
    </row>
    <row r="4" spans="1:9" ht="15.75" customHeight="1" x14ac:dyDescent="0.25">
      <c r="A4" s="5">
        <f t="shared" si="3"/>
        <v>2023</v>
      </c>
      <c r="B4" s="49">
        <v>70727.925600000002</v>
      </c>
      <c r="C4" s="50">
        <v>192000</v>
      </c>
      <c r="D4" s="50">
        <v>407000</v>
      </c>
      <c r="E4" s="50">
        <v>550000</v>
      </c>
      <c r="F4" s="50">
        <v>387000</v>
      </c>
      <c r="G4" s="17">
        <f t="shared" si="0"/>
        <v>1536000</v>
      </c>
      <c r="H4" s="17">
        <f t="shared" si="1"/>
        <v>80730.78095187615</v>
      </c>
      <c r="I4" s="17">
        <f t="shared" si="2"/>
        <v>1455269.2190481238</v>
      </c>
    </row>
    <row r="5" spans="1:9" ht="15.75" customHeight="1" x14ac:dyDescent="0.25">
      <c r="A5" s="5">
        <f t="shared" si="3"/>
        <v>2024</v>
      </c>
      <c r="B5" s="49">
        <v>70114.04800000001</v>
      </c>
      <c r="C5" s="50">
        <v>188000</v>
      </c>
      <c r="D5" s="50">
        <v>403000</v>
      </c>
      <c r="E5" s="50">
        <v>563000</v>
      </c>
      <c r="F5" s="50">
        <v>398000</v>
      </c>
      <c r="G5" s="17">
        <f t="shared" si="0"/>
        <v>1552000</v>
      </c>
      <c r="H5" s="17">
        <f t="shared" si="1"/>
        <v>80030.084336834145</v>
      </c>
      <c r="I5" s="17">
        <f t="shared" si="2"/>
        <v>1471969.915663166</v>
      </c>
    </row>
    <row r="6" spans="1:9" ht="15.75" customHeight="1" x14ac:dyDescent="0.25">
      <c r="A6" s="5">
        <f t="shared" si="3"/>
        <v>2025</v>
      </c>
      <c r="B6" s="49">
        <v>69492.618000000002</v>
      </c>
      <c r="C6" s="50">
        <v>185000</v>
      </c>
      <c r="D6" s="50">
        <v>398000</v>
      </c>
      <c r="E6" s="50">
        <v>578000</v>
      </c>
      <c r="F6" s="50">
        <v>410000</v>
      </c>
      <c r="G6" s="17">
        <f t="shared" si="0"/>
        <v>1571000</v>
      </c>
      <c r="H6" s="17">
        <f t="shared" si="1"/>
        <v>79320.767206700111</v>
      </c>
      <c r="I6" s="17">
        <f t="shared" si="2"/>
        <v>1491679.2327932999</v>
      </c>
    </row>
    <row r="7" spans="1:9" ht="15.75" customHeight="1" x14ac:dyDescent="0.25">
      <c r="A7" s="5">
        <f t="shared" si="3"/>
        <v>2026</v>
      </c>
      <c r="B7" s="49">
        <v>68805.5478</v>
      </c>
      <c r="C7" s="50">
        <v>183000</v>
      </c>
      <c r="D7" s="50">
        <v>395000</v>
      </c>
      <c r="E7" s="50">
        <v>594000</v>
      </c>
      <c r="F7" s="50">
        <v>422000</v>
      </c>
      <c r="G7" s="17">
        <f t="shared" si="0"/>
        <v>1594000</v>
      </c>
      <c r="H7" s="17">
        <f t="shared" si="1"/>
        <v>78536.526564206826</v>
      </c>
      <c r="I7" s="17">
        <f t="shared" si="2"/>
        <v>1515463.4734357931</v>
      </c>
    </row>
    <row r="8" spans="1:9" ht="15.75" customHeight="1" x14ac:dyDescent="0.25">
      <c r="A8" s="5">
        <f t="shared" si="3"/>
        <v>2027</v>
      </c>
      <c r="B8" s="49">
        <v>68111.744000000006</v>
      </c>
      <c r="C8" s="50">
        <v>181000</v>
      </c>
      <c r="D8" s="50">
        <v>390000</v>
      </c>
      <c r="E8" s="50">
        <v>610000</v>
      </c>
      <c r="F8" s="50">
        <v>434000</v>
      </c>
      <c r="G8" s="17">
        <f t="shared" si="0"/>
        <v>1615000</v>
      </c>
      <c r="H8" s="17">
        <f t="shared" si="1"/>
        <v>77744.600007246147</v>
      </c>
      <c r="I8" s="17">
        <f t="shared" si="2"/>
        <v>1537255.3999927538</v>
      </c>
    </row>
    <row r="9" spans="1:9" ht="15.75" customHeight="1" x14ac:dyDescent="0.25">
      <c r="A9" s="5">
        <f t="shared" si="3"/>
        <v>2028</v>
      </c>
      <c r="B9" s="49">
        <v>67401.325799999991</v>
      </c>
      <c r="C9" s="50">
        <v>180000</v>
      </c>
      <c r="D9" s="50">
        <v>385000</v>
      </c>
      <c r="E9" s="50">
        <v>627000</v>
      </c>
      <c r="F9" s="50">
        <v>446000</v>
      </c>
      <c r="G9" s="17">
        <f t="shared" si="0"/>
        <v>1638000</v>
      </c>
      <c r="H9" s="17">
        <f t="shared" si="1"/>
        <v>76933.709321539005</v>
      </c>
      <c r="I9" s="17">
        <f t="shared" si="2"/>
        <v>1561066.2906784611</v>
      </c>
    </row>
    <row r="10" spans="1:9" ht="15.75" customHeight="1" x14ac:dyDescent="0.25">
      <c r="A10" s="5">
        <f t="shared" si="3"/>
        <v>2029</v>
      </c>
      <c r="B10" s="49">
        <v>66684.623599999992</v>
      </c>
      <c r="C10" s="50">
        <v>179000</v>
      </c>
      <c r="D10" s="50">
        <v>381000</v>
      </c>
      <c r="E10" s="50">
        <v>646000</v>
      </c>
      <c r="F10" s="50">
        <v>458000</v>
      </c>
      <c r="G10" s="17">
        <f t="shared" si="0"/>
        <v>1664000</v>
      </c>
      <c r="H10" s="17">
        <f t="shared" si="1"/>
        <v>76115.645907051876</v>
      </c>
      <c r="I10" s="17">
        <f t="shared" si="2"/>
        <v>1587884.3540929481</v>
      </c>
    </row>
    <row r="11" spans="1:9" ht="15.75" customHeight="1" x14ac:dyDescent="0.25">
      <c r="A11" s="5">
        <f t="shared" si="3"/>
        <v>2030</v>
      </c>
      <c r="B11" s="49">
        <v>65961.805999999997</v>
      </c>
      <c r="C11" s="50">
        <v>178000</v>
      </c>
      <c r="D11" s="50">
        <v>376000</v>
      </c>
      <c r="E11" s="50">
        <v>664000</v>
      </c>
      <c r="F11" s="50">
        <v>470000</v>
      </c>
      <c r="G11" s="17">
        <f t="shared" si="0"/>
        <v>1688000</v>
      </c>
      <c r="H11" s="17">
        <f t="shared" si="1"/>
        <v>75290.602208417506</v>
      </c>
      <c r="I11" s="17">
        <f t="shared" si="2"/>
        <v>1612709.3977915824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rg/J6RDGQfXoK/PV1poDOKDgnKQ2DcLBBw882/SfyGDw2a9vtfBObmLEosman3mm2RcyAoH36YsZp3C/iGeY/A==" saltValue="tkxxDVl0IHkaMN+z9Xbxi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6.3358137181518233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6.3358137181518233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1.8518467199035413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1.8518467199035413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2.7292665425824607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2.7292665425824607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1.5292346619719843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1.5292346619719843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2.2596613642277257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2.2596613642277257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CxpKEtQTZWqIDrCf11fKDXK6oraI1uF3Va4Ktqbs8St3rRtf4fJ0CfTDXYNZCZ4unyDiAGNHScvsMvJ2pyUWNw==" saltValue="V2bKhCsm1rrAnHk9a8UIb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sxYXDtH5py040vB1hSVyJtCvNRBhMtKbTrJwj4VGNntWfbeEKsoUIDlqD4rcnmmS0UzmGLQvmN/VX4IzJjWgOg==" saltValue="gonGzjztkGop1/WVNezI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+/ZoI1aI2bhOzhwcG1dtBgocDbUxF6IoyDfy1eTpxWgXx9QvXCn6k7FdU2MZDAtUKJkGmBIiY33ZSJWYIr+Qhg==" saltValue="NSkNrmfhJj4hClIqF6we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0.62835038510438812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0.63090558422521681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0.87459500345591679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0.87579186092995243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0.87459500345591679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0.87579186092995243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0.42766611068514693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0.430350207457456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0.8434840861305658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0.8449252171432694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0.8434840861305658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0.8449252171432694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0.9162251527737405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0.91706237203185104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0.90580160998611847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0.90673239483005363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0.90580160998611847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0.90673239483005363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ik0rmSNswRNZ23TwS4z8eV3wnMIcHxnefgeJ3i1i+Mt4zEhR2o9SFRDoE+C59RhiXkHOL8el3Auo6tzjkixpNQ==" saltValue="eGxi2cB7d781EKuz6f0+5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YFA7EgG5UQCORBaCHcGu7AxLQ59EE+fUnmkCyNlco7g/7nKRY803T1n24brA5/w7YQp6mM/YAEyO+Xu4GSpClw==" saltValue="2welX8d3vTkSUACasTu3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0.59979415050161999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0.67818061059930956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0.67818061059930956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0.64802896218825412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0.64802896218825412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0.64802896218825412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0.64802896218825412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0.6518105849582172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0.6518105849582172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0.6518105849582172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0.6518105849582172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0.69981986623873249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0.76624992607735976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0.76624992607735976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0.74120082815734989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0.74120082815734989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0.74120082815734989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0.74120082815734989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0.7443762781186094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0.7443762781186094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0.7443762781186094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0.7443762781186094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0.40624472673237388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0.49032725576845293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0.49032725576845293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0.45667580081262399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0.45667580081262399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0.45667580081262399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0.45667580081262399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0.46080270067516876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0.46080270067516876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0.46080270067516876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0.46080270067516876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0.57626118155301154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0.65661811658415203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0.65661811658415203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0.62556165751372939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0.62556165751372939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0.62556165751372939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0.62556165751372939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0.62944664031620556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0.62944664031620556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0.62944664031620556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0.62944664031620556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0.94960932649836316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0.96363340260168928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0.96363340260168928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0.95859327554794882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0.95859327554794882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0.95859327554794882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0.95859327554794882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0.95924798956748525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0.95924798956748525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0.95924798956748525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0.95924798956748525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0.87017341284529781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0.90407178209681927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0.90407178209681927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0.89170457006714332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0.89170457006714332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0.89170457006714332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0.89170457006714332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0.89329918907383687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0.89329918907383687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0.89329918907383687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0.89329918907383687</v>
      </c>
    </row>
  </sheetData>
  <sheetProtection algorithmName="SHA-512" hashValue="wUXbBz1q9t/8efaVD6X50gA6CzvBIK65ZnvHLy5vmjiMtOWmCFxrrRboBPCpsz/ZaenGTV7HntnDnEAmcsJ0ag==" saltValue="a9ZPMglYLmwNR/trdPPV5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 t="e">
        <f>IF(ISBLANK('Dist. de l''état nutritionnel'!D$11),(1/1.33),((1/1.33)*'Dist. de l''état nutritionnel'!D$11/(1-(1/1.33)*'Dist. de l''état nutritionnel'!D$11))
/ ('Dist. de l''état nutritionnel'!D$11/(1-'Dist. de l''état nutritionnel'!D$11)))</f>
        <v>#DIV/0!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0.74932941935579755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0.75073559114834787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0.75112859937314502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0.73843335595432991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0.74703129942100499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0.75132945169744858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0.74805800514600529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 t="e">
        <f>IF(ISBLANK('Dist. de l''état nutritionnel'!D$11),(1/1.54),((1/1.54)*'Dist. de l''état nutritionnel'!D$11/(1-(1/1.54)*'Dist. de l''état nutritionnel'!D$11))
/ ('Dist. de l''état nutritionnel'!D$11/(1-'Dist. de l''état nutritionnel'!D$11)))</f>
        <v>#DIV/0!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0.64624236153568682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0.64795513043459974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0.6484343020338984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0.63305963040514313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0.64344885057288703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0.64867926925185737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0.64469600645627889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 t="e">
        <f>IF(ISBLANK('Dist. de l''état nutritionnel'!D$11),(1/1.16),((1/1.16)*'Dist. de l''état nutritionnel'!D$11/(1-(1/1.16)*'Dist. de l''état nutritionnel'!D$11))
/ ('Dist. de l''état nutritionnel'!D$11/(1-'Dist. de l''état nutritionnel'!D$11)))</f>
        <v>#DIV/0!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0.86044103497395996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0.86133924931922012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0.86159002260881989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0.85343002465443485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0.85896985370531298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0.86171813882070925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0.85962761184673631</v>
      </c>
    </row>
  </sheetData>
  <sheetProtection algorithmName="SHA-512" hashValue="bIsFCLkvI5zbOr2yjzpMIh+00hcHuL1Rn6Lne0E4psRSIldo69h9fbU5N7gA803b5BnGBiWW2926C/7wuG/AKA==" saltValue="fYvgKqqDrHJnB7gOd0TMM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WI3DUwQNT9Xdzd46hiAkMTWPs8hIV424KoyNqyVcsQL/O93yULcPNpgq3Gdq/GaIVOUVEdJptmC2NZvFyz7ZzQ==" saltValue="4p1/P66BQkBImWk5TJyl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grY2hw130AF7lU2Llik3ApPHC3l4W2rzhwfEr5LtPGdhKmjgfkVS4w1ed9ewY/M0KdTHtbAjkx4ZYmAQ4kP7nw==" saltValue="hmoo7TBxWiJeKCJWBJVec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2.170178993706506E-2</v>
      </c>
    </row>
    <row r="5" spans="1:8" ht="15.75" customHeight="1" x14ac:dyDescent="0.25">
      <c r="B5" s="19" t="s">
        <v>80</v>
      </c>
      <c r="C5" s="101">
        <v>2.1532519781305159E-2</v>
      </c>
    </row>
    <row r="6" spans="1:8" ht="15.75" customHeight="1" x14ac:dyDescent="0.25">
      <c r="B6" s="19" t="s">
        <v>81</v>
      </c>
      <c r="C6" s="101">
        <v>0.14348193619194979</v>
      </c>
    </row>
    <row r="7" spans="1:8" ht="15.75" customHeight="1" x14ac:dyDescent="0.25">
      <c r="B7" s="19" t="s">
        <v>82</v>
      </c>
      <c r="C7" s="101">
        <v>0.62594716150803986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0.14787139236989</v>
      </c>
    </row>
    <row r="10" spans="1:8" ht="15.75" customHeight="1" x14ac:dyDescent="0.25">
      <c r="B10" s="19" t="s">
        <v>85</v>
      </c>
      <c r="C10" s="101">
        <v>3.9465200211750297E-2</v>
      </c>
    </row>
    <row r="11" spans="1:8" ht="15.75" customHeight="1" x14ac:dyDescent="0.25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2.7967309814960878E-3</v>
      </c>
      <c r="D14" s="55">
        <v>2.7967309814960878E-3</v>
      </c>
      <c r="E14" s="55">
        <v>2.7967309814960878E-3</v>
      </c>
      <c r="F14" s="55">
        <v>2.7967309814960878E-3</v>
      </c>
    </row>
    <row r="15" spans="1:8" ht="15.75" customHeight="1" x14ac:dyDescent="0.25">
      <c r="B15" s="19" t="s">
        <v>88</v>
      </c>
      <c r="C15" s="101">
        <v>6.2804863381864945E-2</v>
      </c>
      <c r="D15" s="101">
        <v>6.2804863381864945E-2</v>
      </c>
      <c r="E15" s="101">
        <v>6.2804863381864945E-2</v>
      </c>
      <c r="F15" s="101">
        <v>6.2804863381864945E-2</v>
      </c>
    </row>
    <row r="16" spans="1:8" ht="15.75" customHeight="1" x14ac:dyDescent="0.25">
      <c r="B16" s="19" t="s">
        <v>89</v>
      </c>
      <c r="C16" s="101">
        <v>3.4225393373684777E-2</v>
      </c>
      <c r="D16" s="101">
        <v>3.4225393373684777E-2</v>
      </c>
      <c r="E16" s="101">
        <v>3.4225393373684777E-2</v>
      </c>
      <c r="F16" s="101">
        <v>3.4225393373684777E-2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9.9520572363490642E-2</v>
      </c>
      <c r="D21" s="101">
        <v>9.9520572363490642E-2</v>
      </c>
      <c r="E21" s="101">
        <v>9.9520572363490642E-2</v>
      </c>
      <c r="F21" s="101">
        <v>9.9520572363490642E-2</v>
      </c>
    </row>
    <row r="22" spans="1:8" ht="15.75" customHeight="1" x14ac:dyDescent="0.25">
      <c r="B22" s="19" t="s">
        <v>95</v>
      </c>
      <c r="C22" s="101">
        <v>0.80065243989946355</v>
      </c>
      <c r="D22" s="101">
        <v>0.80065243989946355</v>
      </c>
      <c r="E22" s="101">
        <v>0.80065243989946355</v>
      </c>
      <c r="F22" s="101">
        <v>0.80065243989946355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7.6356962E-2</v>
      </c>
    </row>
    <row r="27" spans="1:8" ht="15.75" customHeight="1" x14ac:dyDescent="0.25">
      <c r="B27" s="19" t="s">
        <v>102</v>
      </c>
      <c r="C27" s="101">
        <v>4.6857983999999978E-2</v>
      </c>
    </row>
    <row r="28" spans="1:8" ht="15.75" customHeight="1" x14ac:dyDescent="0.25">
      <c r="B28" s="19" t="s">
        <v>103</v>
      </c>
      <c r="C28" s="101">
        <v>8.0995853000000007E-2</v>
      </c>
    </row>
    <row r="29" spans="1:8" ht="15.75" customHeight="1" x14ac:dyDescent="0.25">
      <c r="B29" s="19" t="s">
        <v>104</v>
      </c>
      <c r="C29" s="101">
        <v>0.17572802300000001</v>
      </c>
    </row>
    <row r="30" spans="1:8" ht="15.75" customHeight="1" x14ac:dyDescent="0.25">
      <c r="B30" s="19" t="s">
        <v>2</v>
      </c>
      <c r="C30" s="101">
        <v>0.102999484</v>
      </c>
    </row>
    <row r="31" spans="1:8" ht="15.75" customHeight="1" x14ac:dyDescent="0.25">
      <c r="B31" s="19" t="s">
        <v>105</v>
      </c>
      <c r="C31" s="101">
        <v>3.8216664999999997E-2</v>
      </c>
    </row>
    <row r="32" spans="1:8" ht="15.75" customHeight="1" x14ac:dyDescent="0.25">
      <c r="B32" s="19" t="s">
        <v>106</v>
      </c>
      <c r="C32" s="101">
        <v>0.17722406800000001</v>
      </c>
    </row>
    <row r="33" spans="2:3" ht="15.75" customHeight="1" x14ac:dyDescent="0.25">
      <c r="B33" s="19" t="s">
        <v>107</v>
      </c>
      <c r="C33" s="101">
        <v>0.162579839</v>
      </c>
    </row>
    <row r="34" spans="2:3" ht="15.75" customHeight="1" x14ac:dyDescent="0.25">
      <c r="B34" s="19" t="s">
        <v>108</v>
      </c>
      <c r="C34" s="101">
        <v>0.13904112199999999</v>
      </c>
    </row>
    <row r="35" spans="2:3" ht="15.75" customHeight="1" x14ac:dyDescent="0.25">
      <c r="B35" s="27" t="s">
        <v>41</v>
      </c>
      <c r="C35" s="48">
        <f>SUM(C26:C34)</f>
        <v>0.99999999999999989</v>
      </c>
    </row>
  </sheetData>
  <sheetProtection algorithmName="SHA-512" hashValue="A0/+vTM2MZUPRg8xv7Jq0HCJ6zUQ2kSMp9WkCwGbpaCkT0QF23ebhnGTbk6CnIhs1tnv2u4axPa0oRO6RP5N2Q==" saltValue="2RoAw2pNW9HDE4kDcvYxB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0.59390721904648225</v>
      </c>
      <c r="D2" s="52">
        <f>IFERROR(1-_xlfn.NORM.DIST(_xlfn.NORM.INV(SUM(D4:D5), 0, 1) + 1, 0, 1, TRUE), "")</f>
        <v>0.59390721904648225</v>
      </c>
      <c r="E2" s="52">
        <f>IFERROR(1-_xlfn.NORM.DIST(_xlfn.NORM.INV(SUM(E4:E5), 0, 1) + 1, 0, 1, TRUE), "")</f>
        <v>0.74371725609443617</v>
      </c>
      <c r="F2" s="52">
        <f>IFERROR(1-_xlfn.NORM.DIST(_xlfn.NORM.INV(SUM(F4:F5), 0, 1) + 1, 0, 1, TRUE), "")</f>
        <v>0.77886570805229272</v>
      </c>
      <c r="G2" s="52">
        <f>IFERROR(1-_xlfn.NORM.DIST(_xlfn.NORM.INV(SUM(G4:G5), 0, 1) + 1, 0, 1, TRUE), "")</f>
        <v>0.728895300839841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0.29816195795351769</v>
      </c>
      <c r="D3" s="52">
        <f>IFERROR(_xlfn.NORM.DIST(_xlfn.NORM.INV(SUM(D4:D5), 0, 1) + 1, 0, 1, TRUE) - SUM(D4:D5), "")</f>
        <v>0.29816195795351769</v>
      </c>
      <c r="E3" s="52">
        <f>IFERROR(_xlfn.NORM.DIST(_xlfn.NORM.INV(SUM(E4:E5), 0, 1) + 1, 0, 1, TRUE) - SUM(E4:E5), "")</f>
        <v>0.20730509790556384</v>
      </c>
      <c r="F3" s="52">
        <f>IFERROR(_xlfn.NORM.DIST(_xlfn.NORM.INV(SUM(F4:F5), 0, 1) + 1, 0, 1, TRUE) - SUM(F4:F5), "")</f>
        <v>0.18263459094770729</v>
      </c>
      <c r="G3" s="52">
        <f>IFERROR(_xlfn.NORM.DIST(_xlfn.NORM.INV(SUM(G4:G5), 0, 1) + 1, 0, 1, TRUE) - SUM(G4:G5), "")</f>
        <v>0.21734848016015901</v>
      </c>
    </row>
    <row r="4" spans="1:15" ht="15.75" customHeight="1" x14ac:dyDescent="0.25">
      <c r="B4" s="5" t="s">
        <v>114</v>
      </c>
      <c r="C4" s="45">
        <v>7.0136743000000001E-2</v>
      </c>
      <c r="D4" s="53">
        <v>7.0136743000000001E-2</v>
      </c>
      <c r="E4" s="53">
        <v>3.4336752999999998E-2</v>
      </c>
      <c r="F4" s="53">
        <v>2.6632337999999998E-2</v>
      </c>
      <c r="G4" s="53">
        <v>3.4629366000000002E-2</v>
      </c>
    </row>
    <row r="5" spans="1:15" ht="15.75" customHeight="1" x14ac:dyDescent="0.25">
      <c r="B5" s="5" t="s">
        <v>115</v>
      </c>
      <c r="C5" s="45">
        <v>3.7794080000000001E-2</v>
      </c>
      <c r="D5" s="53">
        <v>3.7794080000000001E-2</v>
      </c>
      <c r="E5" s="53">
        <v>1.4640893E-2</v>
      </c>
      <c r="F5" s="53">
        <v>1.1867363000000001E-2</v>
      </c>
      <c r="G5" s="53">
        <v>1.9126852999999999E-2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0.68723637049494946</v>
      </c>
      <c r="D8" s="52">
        <f>IFERROR(1-_xlfn.NORM.DIST(_xlfn.NORM.INV(SUM(D10:D11), 0, 1) + 1, 0, 1, TRUE), "")</f>
        <v>0.68723637049494946</v>
      </c>
      <c r="E8" s="52">
        <f>IFERROR(1-_xlfn.NORM.DIST(_xlfn.NORM.INV(SUM(E10:E11), 0, 1) + 1, 0, 1, TRUE), "")</f>
        <v>0.77701474274187576</v>
      </c>
      <c r="F8" s="52">
        <f>IFERROR(1-_xlfn.NORM.DIST(_xlfn.NORM.INV(SUM(F10:F11), 0, 1) + 1, 0, 1, TRUE), "")</f>
        <v>0.91366348272529574</v>
      </c>
      <c r="G8" s="52">
        <f>IFERROR(1-_xlfn.NORM.DIST(_xlfn.NORM.INV(SUM(G10:G11), 0, 1) + 1, 0, 1, TRUE), "")</f>
        <v>0.83498135240451932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0.24439238650505055</v>
      </c>
      <c r="D9" s="52">
        <f>IFERROR(_xlfn.NORM.DIST(_xlfn.NORM.INV(SUM(D10:D11), 0, 1) + 1, 0, 1, TRUE) - SUM(D10:D11), "")</f>
        <v>0.24439238650505055</v>
      </c>
      <c r="E9" s="52">
        <f>IFERROR(_xlfn.NORM.DIST(_xlfn.NORM.INV(SUM(E10:E11), 0, 1) + 1, 0, 1, TRUE) - SUM(E10:E11), "")</f>
        <v>0.18396327425812425</v>
      </c>
      <c r="F9" s="52">
        <f>IFERROR(_xlfn.NORM.DIST(_xlfn.NORM.INV(SUM(F10:F11), 0, 1) + 1, 0, 1, TRUE) - SUM(F10:F11), "")</f>
        <v>7.7288933074704261E-2</v>
      </c>
      <c r="G9" s="52">
        <f>IFERROR(_xlfn.NORM.DIST(_xlfn.NORM.INV(SUM(G10:G11), 0, 1) + 1, 0, 1, TRUE) - SUM(G10:G11), "")</f>
        <v>0.14082997959548066</v>
      </c>
    </row>
    <row r="10" spans="1:15" ht="15.75" customHeight="1" x14ac:dyDescent="0.25">
      <c r="B10" s="5" t="s">
        <v>119</v>
      </c>
      <c r="C10" s="45">
        <v>6.8371242999999998E-2</v>
      </c>
      <c r="D10" s="53">
        <v>6.8371242999999998E-2</v>
      </c>
      <c r="E10" s="53">
        <v>2.5490789E-2</v>
      </c>
      <c r="F10" s="53">
        <v>2.9429670999999999E-3</v>
      </c>
      <c r="G10" s="53">
        <v>2.0174695999999999E-2</v>
      </c>
    </row>
    <row r="11" spans="1:15" ht="15.75" customHeight="1" x14ac:dyDescent="0.25">
      <c r="B11" s="5" t="s">
        <v>120</v>
      </c>
      <c r="C11" s="45">
        <v>0</v>
      </c>
      <c r="D11" s="53">
        <v>0</v>
      </c>
      <c r="E11" s="53">
        <v>1.3531194E-2</v>
      </c>
      <c r="F11" s="53">
        <v>6.1046171000000002E-3</v>
      </c>
      <c r="G11" s="53">
        <v>4.0139720000000002E-3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0.40326360550000012</v>
      </c>
      <c r="D14" s="54">
        <v>0.41716673795999992</v>
      </c>
      <c r="E14" s="54">
        <v>0.41716673795999992</v>
      </c>
      <c r="F14" s="54">
        <v>0.180481621654</v>
      </c>
      <c r="G14" s="54">
        <v>0.180481621654</v>
      </c>
      <c r="H14" s="45">
        <v>0.28399999999999997</v>
      </c>
      <c r="I14" s="55">
        <v>0.28399999999999997</v>
      </c>
      <c r="J14" s="55">
        <v>0.28399999999999997</v>
      </c>
      <c r="K14" s="55">
        <v>0.28399999999999997</v>
      </c>
      <c r="L14" s="45">
        <v>0.27200000000000002</v>
      </c>
      <c r="M14" s="55">
        <v>0.27200000000000002</v>
      </c>
      <c r="N14" s="55">
        <v>0.27200000000000002</v>
      </c>
      <c r="O14" s="55">
        <v>0.27200000000000002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0.25129371576732507</v>
      </c>
      <c r="D15" s="52">
        <f t="shared" si="0"/>
        <v>0.25995745275977394</v>
      </c>
      <c r="E15" s="52">
        <f t="shared" si="0"/>
        <v>0.25995745275977394</v>
      </c>
      <c r="F15" s="52">
        <f t="shared" si="0"/>
        <v>0.11246712253369009</v>
      </c>
      <c r="G15" s="52">
        <f t="shared" si="0"/>
        <v>0.11246712253369009</v>
      </c>
      <c r="H15" s="52">
        <f t="shared" si="0"/>
        <v>0.17697459999999998</v>
      </c>
      <c r="I15" s="52">
        <f t="shared" si="0"/>
        <v>0.17697459999999998</v>
      </c>
      <c r="J15" s="52">
        <f t="shared" si="0"/>
        <v>0.17697459999999998</v>
      </c>
      <c r="K15" s="52">
        <f t="shared" si="0"/>
        <v>0.17697459999999998</v>
      </c>
      <c r="L15" s="52">
        <f t="shared" si="0"/>
        <v>0.1694968</v>
      </c>
      <c r="M15" s="52">
        <f t="shared" si="0"/>
        <v>0.1694968</v>
      </c>
      <c r="N15" s="52">
        <f t="shared" si="0"/>
        <v>0.1694968</v>
      </c>
      <c r="O15" s="52">
        <f t="shared" si="0"/>
        <v>0.1694968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Mv5RBI7SQyks6/JsNqfXOuSqujIy9+6pTFTrSdlhguoCP7T+vSyZdyoQDALkfjWKgJZtjzfImiMdoDRwZNxAng==" saltValue="c9liCsoFw4OvNfKMmRUj1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0.57374923709999992</v>
      </c>
      <c r="D2" s="53">
        <v>0.21961842000000001</v>
      </c>
      <c r="E2" s="53"/>
      <c r="F2" s="53"/>
      <c r="G2" s="53"/>
    </row>
    <row r="3" spans="1:7" x14ac:dyDescent="0.25">
      <c r="B3" s="3" t="s">
        <v>130</v>
      </c>
      <c r="C3" s="53">
        <v>0.32482139999999998</v>
      </c>
      <c r="D3" s="53">
        <v>0.29721885999999997</v>
      </c>
      <c r="E3" s="53"/>
      <c r="F3" s="53"/>
      <c r="G3" s="53"/>
    </row>
    <row r="4" spans="1:7" x14ac:dyDescent="0.25">
      <c r="B4" s="3" t="s">
        <v>131</v>
      </c>
      <c r="C4" s="53">
        <v>5.2271561999999987E-2</v>
      </c>
      <c r="D4" s="53">
        <v>0.18033508000000001</v>
      </c>
      <c r="E4" s="53">
        <v>0.56077891588211104</v>
      </c>
      <c r="F4" s="53">
        <v>0.14643003046512601</v>
      </c>
      <c r="G4" s="53"/>
    </row>
    <row r="5" spans="1:7" x14ac:dyDescent="0.25">
      <c r="B5" s="3" t="s">
        <v>132</v>
      </c>
      <c r="C5" s="52">
        <v>4.9157795910000003E-2</v>
      </c>
      <c r="D5" s="52">
        <v>0.30282763000000001</v>
      </c>
      <c r="E5" s="52">
        <f>1-SUM(E2:E4)</f>
        <v>0.43922108411788896</v>
      </c>
      <c r="F5" s="52">
        <f>1-SUM(F2:F4)</f>
        <v>0.85356996953487396</v>
      </c>
      <c r="G5" s="52">
        <f>1-SUM(G2:G4)</f>
        <v>1</v>
      </c>
    </row>
  </sheetData>
  <sheetProtection algorithmName="SHA-512" hashValue="ty3m1Lw6NN0fz5Mxs9X7FwYcJnd8x90mCz4piQ32ZKItNJZ62LDftHgFj+2MJG3kEf6gVHWq0S3VLjTQGedxrQ==" saltValue="oaGV9O6qf+Ve1Yjmk03O7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dVkffcgRHxs1cXyCoVNxbjClRjOrm8cQYzX0z7rDpNpO3hg9zzO11cjvvcEEaUw75UiD213k1uReOJ2u0zPJw==" saltValue="fiIpFTBTS48I+DCSaBou4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vwmhKWkOO3UXhY6YPG0hgGk/ue4zKIRlmUfQSB34NH3GwG2DWWfo3/G1500J7qG9rjnw81B+9F+PmLp8n3t/eQ==" saltValue="p/TK98gEPdcdoNBcsSaf7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N3qHOYAKcRgbyivfpO4hfdbyTSSpZYA/82LvgaFSMuApPjvsS9/gtTRkc0UuWlZZMESQaIDuSiFhlbvuajrzbQ==" saltValue="PZVhL26n5O7HzMWXhf0Rf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iE0NIdqga0Qdpk+I9JA6oFUgzhC/qOzbiPJoz2O5MVF7w6J/WJE4aLaqztS1+iOkZHa5a1zXc3rtWnflpu94Fw==" saltValue="AfAaR+mcarIzxlCfjLtd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2024-03-18T01:56:37Z</dcterms:modified>
</cp:coreProperties>
</file>