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B65E05B-1984-4D67-9331-B4101B1DE26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39" i="2" l="1"/>
  <c r="A22" i="2"/>
  <c r="A14" i="2"/>
  <c r="A25" i="2"/>
  <c r="A40" i="2"/>
  <c r="A21" i="2"/>
  <c r="A3" i="2"/>
  <c r="A13" i="2"/>
  <c r="A24" i="2"/>
  <c r="A34" i="2"/>
  <c r="A35" i="2"/>
  <c r="A16" i="2"/>
  <c r="A26" i="2"/>
  <c r="A37" i="2"/>
  <c r="A19" i="2"/>
  <c r="A33" i="2"/>
  <c r="A30" i="2"/>
  <c r="A32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<sst xmlns="http://schemas.openxmlformats.org/spreadsheetml/2006/main" count="2092" uniqueCount="337">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</sst>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1463471.375</v>
      </c>
    </row>
    <row r="8" spans="1:3" ht="15" customHeight="1" x14ac:dyDescent="0.25">
      <c r="B8" s="5" t="s">
        <v>19</v>
      </c>
      <c r="C8" s="44">
        <v>0.42699999999999999</v>
      </c>
    </row>
    <row r="9" spans="1:3" ht="15" customHeight="1" x14ac:dyDescent="0.25">
      <c r="B9" s="5" t="s">
        <v>20</v>
      </c>
      <c r="C9" s="45">
        <v>0.39</v>
      </c>
    </row>
    <row r="10" spans="1:3" ht="15" customHeight="1" x14ac:dyDescent="0.25">
      <c r="B10" s="5" t="s">
        <v>21</v>
      </c>
      <c r="C10" s="45">
        <v>4.0349397659301803E-2</v>
      </c>
    </row>
    <row r="11" spans="1:3" ht="15" customHeight="1" x14ac:dyDescent="0.25">
      <c r="B11" s="5" t="s">
        <v>22</v>
      </c>
      <c r="C11" s="45">
        <v>0.17</v>
      </c>
    </row>
    <row r="12" spans="1:3" ht="15" customHeight="1" x14ac:dyDescent="0.25">
      <c r="B12" s="5" t="s">
        <v>23</v>
      </c>
      <c r="C12" s="45">
        <v>0.47599999999999998</v>
      </c>
    </row>
    <row r="13" spans="1:3" ht="15" customHeight="1" x14ac:dyDescent="0.25">
      <c r="B13" s="5" t="s">
        <v>24</v>
      </c>
      <c r="C13" s="45">
        <v>0.94400000000000006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6.7500000000000004E-2</v>
      </c>
    </row>
    <row r="24" spans="1:3" ht="15" customHeight="1" x14ac:dyDescent="0.25">
      <c r="B24" s="15" t="s">
        <v>33</v>
      </c>
      <c r="C24" s="45">
        <v>0.51</v>
      </c>
    </row>
    <row r="25" spans="1:3" ht="15" customHeight="1" x14ac:dyDescent="0.25">
      <c r="B25" s="15" t="s">
        <v>34</v>
      </c>
      <c r="C25" s="45">
        <v>0.32150000000000001</v>
      </c>
    </row>
    <row r="26" spans="1:3" ht="15" customHeight="1" x14ac:dyDescent="0.25">
      <c r="B26" s="15" t="s">
        <v>35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0.19150365160233301</v>
      </c>
    </row>
    <row r="30" spans="1:3" ht="14.25" customHeight="1" x14ac:dyDescent="0.25">
      <c r="B30" s="25" t="s">
        <v>38</v>
      </c>
      <c r="C30" s="99">
        <v>6.8825578474898896E-2</v>
      </c>
    </row>
    <row r="31" spans="1:3" ht="14.25" customHeight="1" x14ac:dyDescent="0.25">
      <c r="B31" s="25" t="s">
        <v>39</v>
      </c>
      <c r="C31" s="99">
        <v>0.12157427723799701</v>
      </c>
    </row>
    <row r="32" spans="1:3" ht="14.25" customHeight="1" x14ac:dyDescent="0.25">
      <c r="B32" s="25" t="s">
        <v>40</v>
      </c>
      <c r="C32" s="99">
        <v>0.61809649268477107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38.604565867455698</v>
      </c>
    </row>
    <row r="38" spans="1:5" ht="15" customHeight="1" x14ac:dyDescent="0.25">
      <c r="B38" s="11" t="s">
        <v>45</v>
      </c>
      <c r="C38" s="43">
        <v>62.3710703861653</v>
      </c>
      <c r="D38" s="12"/>
      <c r="E38" s="13"/>
    </row>
    <row r="39" spans="1:5" ht="15" customHeight="1" x14ac:dyDescent="0.25">
      <c r="B39" s="11" t="s">
        <v>46</v>
      </c>
      <c r="C39" s="43">
        <v>96.229298685854801</v>
      </c>
      <c r="D39" s="12"/>
      <c r="E39" s="12"/>
    </row>
    <row r="40" spans="1:5" ht="15" customHeight="1" x14ac:dyDescent="0.25">
      <c r="B40" s="11" t="s">
        <v>47</v>
      </c>
      <c r="C40" s="100">
        <v>11.5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28.81322853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2.8654000000000002E-3</v>
      </c>
      <c r="D45" s="12"/>
    </row>
    <row r="46" spans="1:5" ht="15.75" customHeight="1" x14ac:dyDescent="0.25">
      <c r="B46" s="11" t="s">
        <v>52</v>
      </c>
      <c r="C46" s="45">
        <v>8.5688099999999989E-2</v>
      </c>
      <c r="D46" s="12"/>
    </row>
    <row r="47" spans="1:5" ht="15.75" customHeight="1" x14ac:dyDescent="0.25">
      <c r="B47" s="11" t="s">
        <v>53</v>
      </c>
      <c r="C47" s="45">
        <v>0.14243310000000001</v>
      </c>
      <c r="D47" s="12"/>
      <c r="E47" s="13"/>
    </row>
    <row r="48" spans="1:5" ht="15" customHeight="1" x14ac:dyDescent="0.25">
      <c r="B48" s="11" t="s">
        <v>54</v>
      </c>
      <c r="C48" s="46">
        <v>0.76901340000000007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0.52577700000000005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UFCTrQuXIabnWx/fbDHT+lM5kJyJ9Mfo/Bw/8UXq3b/fT0MNiI0eI6alvDjGVPGmX7lUehzhSEXqdG/D3sKX0g==" saltValue="lEbwdF0Wa+CB0cIXD4h+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33.111327336400471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47.324666225751173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23.744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2.8660164968156591E-2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14.98391555624624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14.98391555624624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14.98391555624624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14.98391555624624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14.98391555624624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14.98391555624624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0.18651362650506129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0.66496463640733372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0.66496463640733372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0.15741054713725999</v>
      </c>
      <c r="C21" s="98">
        <v>0.95</v>
      </c>
      <c r="D21" s="56">
        <v>0.31107361314039889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25.501496741923479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1.345673084E-2</v>
      </c>
      <c r="C23" s="98">
        <v>0.95</v>
      </c>
      <c r="D23" s="56">
        <v>4.8905827235809092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21.765226394387359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0.3860053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56.776245279132063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0.46089999999999998</v>
      </c>
      <c r="C31" s="98">
        <v>0.95</v>
      </c>
      <c r="D31" s="56">
        <v>9.3761294689777941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0.41144239999999999</v>
      </c>
      <c r="C32" s="98">
        <v>0.95</v>
      </c>
      <c r="D32" s="56">
        <v>0.33062969270167181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0.113216843085857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3.0882237479090701E-2</v>
      </c>
      <c r="C38" s="98">
        <v>0.95</v>
      </c>
      <c r="D38" s="56">
        <v>5.9681168424615683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0.49399999999999999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v6qixq4e9NRYA5eA+FSJiFmRCtAm3Gxb/VFGFe1uUPhKN+ZyYiBly2T/GKLPJsjPDAs0UOqtsuNG+bcvsv/dQ==" saltValue="20dnEjjKKQBx5acDG+Tr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SD0Oop5xIBJPTAEhXJRZtctoKiBX/t340RIkhizt6c6UayS3Q5oqML8IakJKLTEijpoZBvnh4KmBeH26EWTqxQ==" saltValue="3gCZh/zbYokn/mfFII6W/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MmzywhnWyILHlY4zOOKeBSNfpLSsJiZk0uXcutjrBpbxVCsCosqQ0bcuVLSHGNUJ0h1fAUh3zUzKpQYt4E8+Ag==" saltValue="V8TsIliu1pqn/ivcrOwE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0.29120254665613282</v>
      </c>
      <c r="C3" s="21">
        <f>frac_mam_1_5months * 2.6</f>
        <v>0.29120254665613282</v>
      </c>
      <c r="D3" s="21">
        <f>frac_mam_6_11months * 2.6</f>
        <v>0.40556049048900583</v>
      </c>
      <c r="E3" s="21">
        <f>frac_mam_12_23months * 2.6</f>
        <v>0.3329371273517614</v>
      </c>
      <c r="F3" s="21">
        <f>frac_mam_24_59months * 2.6</f>
        <v>0.32151324450969621</v>
      </c>
    </row>
    <row r="4" spans="1:6" ht="15.75" customHeight="1" x14ac:dyDescent="0.25">
      <c r="A4" s="3" t="s">
        <v>208</v>
      </c>
      <c r="B4" s="21">
        <f>frac_sam_1month * 2.6</f>
        <v>0.22625849545001975</v>
      </c>
      <c r="C4" s="21">
        <f>frac_sam_1_5months * 2.6</f>
        <v>0.22625849545001975</v>
      </c>
      <c r="D4" s="21">
        <f>frac_sam_6_11months * 2.6</f>
        <v>0.299175317585469</v>
      </c>
      <c r="E4" s="21">
        <f>frac_sam_12_23months * 2.6</f>
        <v>0.25278518199920652</v>
      </c>
      <c r="F4" s="21">
        <f>frac_sam_24_59months * 2.6</f>
        <v>0.24493354111909882</v>
      </c>
    </row>
  </sheetData>
  <sheetProtection algorithmName="SHA-512" hashValue="TNHm+SDTfskOGzK+eYXUH6X+/fF+vSHbwoQb1rnETOTcPl+PjvlkVhWcuRu1Kh1zFMFtEs7ERksyCTabjEp1Dg==" saltValue="EXqdjh9K0tve/HZF7YrC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0.42699999999999999</v>
      </c>
      <c r="E2" s="60">
        <f>food_insecure</f>
        <v>0.42699999999999999</v>
      </c>
      <c r="F2" s="60">
        <f>food_insecure</f>
        <v>0.42699999999999999</v>
      </c>
      <c r="G2" s="60">
        <f>food_insecure</f>
        <v>0.42699999999999999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0.42699999999999999</v>
      </c>
      <c r="F5" s="60">
        <f>food_insecure</f>
        <v>0.42699999999999999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0.42699999999999999</v>
      </c>
      <c r="F8" s="60">
        <f>food_insecure</f>
        <v>0.42699999999999999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0.42699999999999999</v>
      </c>
      <c r="F9" s="60">
        <f>food_insecure</f>
        <v>0.42699999999999999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0.47599999999999998</v>
      </c>
      <c r="E10" s="60">
        <f>IF(ISBLANK(comm_deliv), frac_children_health_facility,1)</f>
        <v>0.47599999999999998</v>
      </c>
      <c r="F10" s="60">
        <f>IF(ISBLANK(comm_deliv), frac_children_health_facility,1)</f>
        <v>0.47599999999999998</v>
      </c>
      <c r="G10" s="60">
        <f>IF(ISBLANK(comm_deliv), frac_children_health_facility,1)</f>
        <v>0.47599999999999998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0.42699999999999999</v>
      </c>
      <c r="I15" s="60">
        <f>food_insecure</f>
        <v>0.42699999999999999</v>
      </c>
      <c r="J15" s="60">
        <f>food_insecure</f>
        <v>0.42699999999999999</v>
      </c>
      <c r="K15" s="60">
        <f>food_insecure</f>
        <v>0.42699999999999999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</v>
      </c>
      <c r="I18" s="60">
        <f>frac_PW_health_facility</f>
        <v>0.17</v>
      </c>
      <c r="J18" s="60">
        <f>frac_PW_health_facility</f>
        <v>0.17</v>
      </c>
      <c r="K18" s="60">
        <f>frac_PW_health_facility</f>
        <v>0.17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0.39</v>
      </c>
      <c r="I19" s="60">
        <f>frac_malaria_risk</f>
        <v>0.39</v>
      </c>
      <c r="J19" s="60">
        <f>frac_malaria_risk</f>
        <v>0.39</v>
      </c>
      <c r="K19" s="60">
        <f>frac_malaria_risk</f>
        <v>0.39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0.94400000000000006</v>
      </c>
      <c r="M24" s="60">
        <f>famplan_unmet_need</f>
        <v>0.94400000000000006</v>
      </c>
      <c r="N24" s="60">
        <f>famplan_unmet_need</f>
        <v>0.94400000000000006</v>
      </c>
      <c r="O24" s="60">
        <f>famplan_unmet_need</f>
        <v>0.94400000000000006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0.55628066465883252</v>
      </c>
      <c r="M25" s="60">
        <f>(1-food_insecure)*(0.49)+food_insecure*(0.7)</f>
        <v>0.57966999999999991</v>
      </c>
      <c r="N25" s="60">
        <f>(1-food_insecure)*(0.49)+food_insecure*(0.7)</f>
        <v>0.57966999999999991</v>
      </c>
      <c r="O25" s="60">
        <f>(1-food_insecure)*(0.49)+food_insecure*(0.7)</f>
        <v>0.57966999999999991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0.23840599913949964</v>
      </c>
      <c r="M26" s="60">
        <f>(1-food_insecure)*(0.21)+food_insecure*(0.3)</f>
        <v>0.24842999999999998</v>
      </c>
      <c r="N26" s="60">
        <f>(1-food_insecure)*(0.21)+food_insecure*(0.3)</f>
        <v>0.24842999999999998</v>
      </c>
      <c r="O26" s="60">
        <f>(1-food_insecure)*(0.21)+food_insecure*(0.3)</f>
        <v>0.24842999999999998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0.16496393854236599</v>
      </c>
      <c r="M27" s="60">
        <f>(1-food_insecure)*(0.3)</f>
        <v>0.17189999999999997</v>
      </c>
      <c r="N27" s="60">
        <f>(1-food_insecure)*(0.3)</f>
        <v>0.17189999999999997</v>
      </c>
      <c r="O27" s="60">
        <f>(1-food_insecure)*(0.3)</f>
        <v>0.17189999999999997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4.0349397659301803E-2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0.39</v>
      </c>
      <c r="D34" s="60">
        <f t="shared" si="3"/>
        <v>0.39</v>
      </c>
      <c r="E34" s="60">
        <f t="shared" si="3"/>
        <v>0.39</v>
      </c>
      <c r="F34" s="60">
        <f t="shared" si="3"/>
        <v>0.39</v>
      </c>
      <c r="G34" s="60">
        <f t="shared" si="3"/>
        <v>0.39</v>
      </c>
      <c r="H34" s="60">
        <f t="shared" si="3"/>
        <v>0.39</v>
      </c>
      <c r="I34" s="60">
        <f t="shared" si="3"/>
        <v>0.39</v>
      </c>
      <c r="J34" s="60">
        <f t="shared" si="3"/>
        <v>0.39</v>
      </c>
      <c r="K34" s="60">
        <f t="shared" si="3"/>
        <v>0.39</v>
      </c>
      <c r="L34" s="60">
        <f t="shared" si="3"/>
        <v>0.39</v>
      </c>
      <c r="M34" s="60">
        <f t="shared" si="3"/>
        <v>0.39</v>
      </c>
      <c r="N34" s="60">
        <f t="shared" si="3"/>
        <v>0.39</v>
      </c>
      <c r="O34" s="60">
        <f t="shared" si="3"/>
        <v>0.39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KNP1NanBbHIn88LhqLTxCNfoCqWO5Kn8gak6TVsWCZjylnwesTBx/2aeC5/bykZvk8+pnffjFk3M1L/dzxf8Q==" saltValue="Ph/FR4m7zIWBk7fTpJ9C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zEBw03b9JG+kxaPTzByzNfteq2KQN6eEkv1U22v4PNbfN4kPSuay20jSFrRfud8nzVM/WVsxv0Wp3KJiV0QOw==" saltValue="qG1X0sPdy1pEROjjHu77o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0ABNR2mwxd47z707tps+zobAXTAxoJLHDY0aDfOuvttgBDc0jLRRleQCN7ELcelm9ZLGVj9NGJ0uR4YqOX/7Q==" saltValue="3pJcj91St2vX70o/Ap+R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v2d6bIjdzJcw7gKofNhI9MUHidqYs8Ti4D43su1It0S9yX8TUWFqieL2bVxKF0ox47e3zOtWRzoSbptywJkPQ==" saltValue="wLI3A8gGLAy6N7UXT6Z8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2kM3TMfMG1fUNkUAJ9dXV8hLbe3Ao8Xy3WYlgO/WE0wctvAW/Cql2kuYD2h4UMOZFqk42Drz421HO97TVIJTQ==" saltValue="7zvUBWGAzRcdk48KlFBm+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j6GAM4AsiIz+mnNT5QJ07A+Q3bY2bveSCviRnMzwmCGgMbQkhO0ePbi2nI2liVFFGZ+Txp0tAG8tyl8S71p9g==" saltValue="xjt7JoOMwT0yKqQw+2Zj6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474679.08799999999</v>
      </c>
      <c r="C2" s="49">
        <v>739000</v>
      </c>
      <c r="D2" s="49">
        <v>1225000</v>
      </c>
      <c r="E2" s="49">
        <v>1540000</v>
      </c>
      <c r="F2" s="49">
        <v>1553000</v>
      </c>
      <c r="G2" s="17">
        <f t="shared" ref="G2:G11" si="0">C2+D2+E2+F2</f>
        <v>5057000</v>
      </c>
      <c r="H2" s="17">
        <f t="shared" ref="H2:H11" si="1">(B2 + stillbirth*B2/(1000-stillbirth))/(1-abortion)</f>
        <v>555411.24569582019</v>
      </c>
      <c r="I2" s="17">
        <f t="shared" ref="I2:I11" si="2">G2-H2</f>
        <v>4501588.7543041799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480844.47639999999</v>
      </c>
      <c r="C3" s="50">
        <v>756000</v>
      </c>
      <c r="D3" s="50">
        <v>1257000</v>
      </c>
      <c r="E3" s="50">
        <v>1519000</v>
      </c>
      <c r="F3" s="50">
        <v>1575000</v>
      </c>
      <c r="G3" s="17">
        <f t="shared" si="0"/>
        <v>5107000</v>
      </c>
      <c r="H3" s="17">
        <f t="shared" si="1"/>
        <v>562625.22696866398</v>
      </c>
      <c r="I3" s="17">
        <f t="shared" si="2"/>
        <v>4544374.7730313363</v>
      </c>
    </row>
    <row r="4" spans="1:9" ht="15.75" customHeight="1" x14ac:dyDescent="0.25">
      <c r="A4" s="5">
        <f t="shared" si="3"/>
        <v>2023</v>
      </c>
      <c r="B4" s="49">
        <v>486852.17280000012</v>
      </c>
      <c r="C4" s="50">
        <v>774000</v>
      </c>
      <c r="D4" s="50">
        <v>1289000</v>
      </c>
      <c r="E4" s="50">
        <v>1498000</v>
      </c>
      <c r="F4" s="50">
        <v>1594000</v>
      </c>
      <c r="G4" s="17">
        <f t="shared" si="0"/>
        <v>5155000</v>
      </c>
      <c r="H4" s="17">
        <f t="shared" si="1"/>
        <v>569654.69640525803</v>
      </c>
      <c r="I4" s="17">
        <f t="shared" si="2"/>
        <v>4585345.303594742</v>
      </c>
    </row>
    <row r="5" spans="1:9" ht="15.75" customHeight="1" x14ac:dyDescent="0.25">
      <c r="A5" s="5">
        <f t="shared" si="3"/>
        <v>2024</v>
      </c>
      <c r="B5" s="49">
        <v>492631.71040000021</v>
      </c>
      <c r="C5" s="50">
        <v>792000</v>
      </c>
      <c r="D5" s="50">
        <v>1320000</v>
      </c>
      <c r="E5" s="50">
        <v>1477000</v>
      </c>
      <c r="F5" s="50">
        <v>1606000</v>
      </c>
      <c r="G5" s="17">
        <f t="shared" si="0"/>
        <v>5195000</v>
      </c>
      <c r="H5" s="17">
        <f t="shared" si="1"/>
        <v>576417.20239954337</v>
      </c>
      <c r="I5" s="17">
        <f t="shared" si="2"/>
        <v>4618582.7976004565</v>
      </c>
    </row>
    <row r="6" spans="1:9" ht="15.75" customHeight="1" x14ac:dyDescent="0.25">
      <c r="A6" s="5">
        <f t="shared" si="3"/>
        <v>2025</v>
      </c>
      <c r="B6" s="49">
        <v>498212.99</v>
      </c>
      <c r="C6" s="50">
        <v>809000</v>
      </c>
      <c r="D6" s="50">
        <v>1352000</v>
      </c>
      <c r="E6" s="50">
        <v>1457000</v>
      </c>
      <c r="F6" s="50">
        <v>1608000</v>
      </c>
      <c r="G6" s="17">
        <f t="shared" si="0"/>
        <v>5226000</v>
      </c>
      <c r="H6" s="17">
        <f t="shared" si="1"/>
        <v>582947.73120011389</v>
      </c>
      <c r="I6" s="17">
        <f t="shared" si="2"/>
        <v>4643052.2687998861</v>
      </c>
    </row>
    <row r="7" spans="1:9" ht="15.75" customHeight="1" x14ac:dyDescent="0.25">
      <c r="A7" s="5">
        <f t="shared" si="3"/>
        <v>2026</v>
      </c>
      <c r="B7" s="49">
        <v>503346.44819999998</v>
      </c>
      <c r="C7" s="50">
        <v>826000</v>
      </c>
      <c r="D7" s="50">
        <v>1382000</v>
      </c>
      <c r="E7" s="50">
        <v>1443000</v>
      </c>
      <c r="F7" s="50">
        <v>1602000</v>
      </c>
      <c r="G7" s="17">
        <f t="shared" si="0"/>
        <v>5253000</v>
      </c>
      <c r="H7" s="17">
        <f t="shared" si="1"/>
        <v>588954.27432718209</v>
      </c>
      <c r="I7" s="17">
        <f t="shared" si="2"/>
        <v>4664045.7256728178</v>
      </c>
    </row>
    <row r="8" spans="1:9" ht="15.75" customHeight="1" x14ac:dyDescent="0.25">
      <c r="A8" s="5">
        <f t="shared" si="3"/>
        <v>2027</v>
      </c>
      <c r="B8" s="49">
        <v>508262.75199999998</v>
      </c>
      <c r="C8" s="50">
        <v>842000</v>
      </c>
      <c r="D8" s="50">
        <v>1412000</v>
      </c>
      <c r="E8" s="50">
        <v>1430000</v>
      </c>
      <c r="F8" s="50">
        <v>1587000</v>
      </c>
      <c r="G8" s="17">
        <f t="shared" si="0"/>
        <v>5271000</v>
      </c>
      <c r="H8" s="17">
        <f t="shared" si="1"/>
        <v>594706.73001104628</v>
      </c>
      <c r="I8" s="17">
        <f t="shared" si="2"/>
        <v>4676293.2699889541</v>
      </c>
    </row>
    <row r="9" spans="1:9" ht="15.75" customHeight="1" x14ac:dyDescent="0.25">
      <c r="A9" s="5">
        <f t="shared" si="3"/>
        <v>2028</v>
      </c>
      <c r="B9" s="49">
        <v>512958.06920000009</v>
      </c>
      <c r="C9" s="50">
        <v>859000</v>
      </c>
      <c r="D9" s="50">
        <v>1442000</v>
      </c>
      <c r="E9" s="50">
        <v>1419000</v>
      </c>
      <c r="F9" s="50">
        <v>1565000</v>
      </c>
      <c r="G9" s="17">
        <f t="shared" si="0"/>
        <v>5285000</v>
      </c>
      <c r="H9" s="17">
        <f t="shared" si="1"/>
        <v>600200.61428131582</v>
      </c>
      <c r="I9" s="17">
        <f t="shared" si="2"/>
        <v>4684799.3857186846</v>
      </c>
    </row>
    <row r="10" spans="1:9" ht="15.75" customHeight="1" x14ac:dyDescent="0.25">
      <c r="A10" s="5">
        <f t="shared" si="3"/>
        <v>2029</v>
      </c>
      <c r="B10" s="49">
        <v>517428.56760000013</v>
      </c>
      <c r="C10" s="50">
        <v>876000</v>
      </c>
      <c r="D10" s="50">
        <v>1473000</v>
      </c>
      <c r="E10" s="50">
        <v>1410000</v>
      </c>
      <c r="F10" s="50">
        <v>1540000</v>
      </c>
      <c r="G10" s="17">
        <f t="shared" si="0"/>
        <v>5299000</v>
      </c>
      <c r="H10" s="17">
        <f t="shared" si="1"/>
        <v>605431.4431675995</v>
      </c>
      <c r="I10" s="17">
        <f t="shared" si="2"/>
        <v>4693568.5568324002</v>
      </c>
    </row>
    <row r="11" spans="1:9" ht="15.75" customHeight="1" x14ac:dyDescent="0.25">
      <c r="A11" s="5">
        <f t="shared" si="3"/>
        <v>2030</v>
      </c>
      <c r="B11" s="49">
        <v>521640.18199999997</v>
      </c>
      <c r="C11" s="50">
        <v>893000</v>
      </c>
      <c r="D11" s="50">
        <v>1506000</v>
      </c>
      <c r="E11" s="50">
        <v>1403000</v>
      </c>
      <c r="F11" s="50">
        <v>1516000</v>
      </c>
      <c r="G11" s="17">
        <f t="shared" si="0"/>
        <v>5318000</v>
      </c>
      <c r="H11" s="17">
        <f t="shared" si="1"/>
        <v>610359.35775121895</v>
      </c>
      <c r="I11" s="17">
        <f t="shared" si="2"/>
        <v>4707640.6422487814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7IlWFRd5yBTWFWQu4xQw6fbWcz8c0Wz1mm35+LwvYhTLMnti6JW7wc0tjWBGukEMkj2FDwVQnFUvwqhWIouMw==" saltValue="qesLrKxjrp8mlpaBr/JRp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13.599386372649379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13.599386372649379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2.5635913029656501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2.5635913029656501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3.3005928250545504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3.3005928250545504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1.8479938637880569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1.8479938637880569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3.8335184418186232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3.8335184418186232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MptVbfmxzAuVWJW2IJ7NJT8r2OGWDPgulmkdH5Tlm69/w4Mgy00xOTWnR6tg825G/kEy5nrwwbP4arZREQO3AA==" saltValue="CTkkiiIWqKl3mwDAFKOph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xlyEUXJavogtwTBSDrUd5yl0sVPZnBLNvHBvGZN1bS9H0og3Sd8G6TZltnk+5qvsl3rofPy/Mux3K47jwvzZg==" saltValue="+cJ6fYm39u5BL9WCL1SU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nGlNEDhKQ6KeeqQ9pfSKYrtgcMELjYLiJGmwsdVTtXpU9ct5tyXGJDAA4BR4e12oZH+K9HA4idu2tmWjgRaWw==" saltValue="11TTo+XMr+stogy2cxvX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0.59481595868259551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0.55141449272276066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0.85826778381928515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0.83527085729295292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0.85826778381928515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0.83527085729295292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0.39350193706075004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0.35202755124466439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0.8239218232405956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0.79667228591718775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0.8239218232405956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0.79667228591718775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0.90472758286236654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0.88828784851119058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0.8930404777908173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0.87486300935825312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0.8930404777908173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0.87486300935825312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FR8fGNgLn62uaWL/+D8ecETdZkgphl+QiSAeqmXROWFGpkJlpKHUaUN9BkFoZkok2JNvxifWz/CiwrcaL3tTg==" saltValue="yGL5yMqLDe8Mh4awKsOJ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1BYALWRxq7L6q/E0y+gkoxeZ/Osy4mw3cINYIbUGZyMQJwdL3OssCzvF88S+16ges3qSjzl5OCgb55wQU0Foyw==" saltValue="4vpryp2HCFTdBTLqvmRD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0.43079783006287031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0.47383392432005694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0.47383392432005694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0.61106789643293691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0.61106789643293691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0.61106789643293691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0.61106789643293691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0.63099630996309952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0.63099630996309952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0.63099630996309952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0.63099630996309952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0.54071862000244175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0.58347928311998087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0.58347928311998087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0.70963995354239262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0.70963995354239262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0.70963995354239262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0.70963995354239262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0.72677595628415304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0.72677595628415304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0.72677595628415304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0.72677595628415304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0.25679081750843147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0.29134122381918504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0.29134122381918504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0.41767729194622383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0.41767729194622383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0.41767729194622383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0.41767729194622383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0.43840800879013564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0.43840800879013564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0.43840800879013564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0.43840800879013564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0.40714981398050276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0.44968988725380282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0.44968988725380282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0.58774220145664413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0.58774220145664413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0.58774220145664413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0.58774220145664413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0.60809928151534931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0.60809928151534931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0.60809928151534931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0.60809928151534931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0.90491246361843825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0.91885398765538573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0.91885398765538573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0.95182038640050093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0.95182038640050093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0.95182038640050093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0.95182038640050093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0.95555884749277842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0.95555884749277842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0.95555884749277842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0.95555884749277842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0.7719383419291137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0.80109072993688135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0.80109072993688135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0.87541269544633404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0.87541269544633404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0.87541269544633404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0.87541269544633404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0.88435964151488877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0.88435964151488877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0.88435964151488877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0.88435964151488877</v>
      </c>
    </row>
  </sheetData>
  <sheetProtection algorithmName="SHA-512" hashValue="frh9lz8y4XDvgUUDqTPAHSGsHJ8pPJwW8CFJe2LoDxYPUL0FR3RY32qNkc6Xb8/B6GfIJV8lxz/GKAQ9vPeaCw==" saltValue="OhhMR28xpSqLBPd6ZytL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0.73450846895024891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0.72837998741222798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0.73231123381141583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0.73296537404992301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0.72906382152921545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0.71891334870794765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0.72544552382944072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0.726445521091998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0.6283493726849767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0.62103469924925681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0.62572124815068297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0.62650301202230407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0.62184848011692317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0.60983087355252086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0.61754945401216199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0.6187358996181741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0.85088224148312031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0.84688007191163805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0.84945072048325976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0.84987729230860742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0.84732810158440031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0.84063986218246922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0.84495331650972483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0.84561067180888705</v>
      </c>
    </row>
  </sheetData>
  <sheetProtection algorithmName="SHA-512" hashValue="6KYbDaQg2joXVAY6rALbMAlXctCDVjD76BTUJhNjhfWkcTVIqSM97W9svwBYwo6xQkubNqq/AdVf7XJfFDgZyg==" saltValue="zG5W2ukvAJHbuxlIkrU6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tsQCY8l5AkwB+esrNnBj2ghVsjabFUmowVpgLKB3vUxC5l4kTZb4NfeSxhhhIZLYL5HHfiigqviABR2gsXi1A==" saltValue="SjKWjBp5VTyl9kzcJyJO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i/zHnaAGLd6Uj37xtYnt1vWYzy0OJZGQ7FAEwu68cGspz3v+IBMzZ/bF0cuOCQv+HAqEYzQuq5UO2gHG65ziOw==" saltValue="pSWMROvbJxRI1S4nThrGo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7.7852531721108861E-3</v>
      </c>
    </row>
    <row r="4" spans="1:8" ht="15.75" customHeight="1" x14ac:dyDescent="0.25">
      <c r="B4" s="19" t="s">
        <v>79</v>
      </c>
      <c r="C4" s="101">
        <v>0.1104314088841564</v>
      </c>
    </row>
    <row r="5" spans="1:8" ht="15.75" customHeight="1" x14ac:dyDescent="0.25">
      <c r="B5" s="19" t="s">
        <v>80</v>
      </c>
      <c r="C5" s="101">
        <v>8.2541916573618035E-2</v>
      </c>
    </row>
    <row r="6" spans="1:8" ht="15.75" customHeight="1" x14ac:dyDescent="0.25">
      <c r="B6" s="19" t="s">
        <v>81</v>
      </c>
      <c r="C6" s="101">
        <v>0.329225287383837</v>
      </c>
    </row>
    <row r="7" spans="1:8" ht="15.75" customHeight="1" x14ac:dyDescent="0.25">
      <c r="B7" s="19" t="s">
        <v>82</v>
      </c>
      <c r="C7" s="101">
        <v>0.26604515066131029</v>
      </c>
    </row>
    <row r="8" spans="1:8" ht="15.75" customHeight="1" x14ac:dyDescent="0.25">
      <c r="B8" s="19" t="s">
        <v>83</v>
      </c>
      <c r="C8" s="101">
        <v>5.7428130468389543E-2</v>
      </c>
    </row>
    <row r="9" spans="1:8" ht="15.75" customHeight="1" x14ac:dyDescent="0.25">
      <c r="B9" s="19" t="s">
        <v>84</v>
      </c>
      <c r="C9" s="101">
        <v>7.7054891446840759E-2</v>
      </c>
    </row>
    <row r="10" spans="1:8" ht="15.75" customHeight="1" x14ac:dyDescent="0.25">
      <c r="B10" s="19" t="s">
        <v>85</v>
      </c>
      <c r="C10" s="101">
        <v>6.9487961409737009E-2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0.14223879086630209</v>
      </c>
      <c r="D14" s="55">
        <v>0.14223879086630209</v>
      </c>
      <c r="E14" s="55">
        <v>0.14223879086630209</v>
      </c>
      <c r="F14" s="55">
        <v>0.14223879086630209</v>
      </c>
    </row>
    <row r="15" spans="1:8" ht="15.75" customHeight="1" x14ac:dyDescent="0.25">
      <c r="B15" s="19" t="s">
        <v>88</v>
      </c>
      <c r="C15" s="101">
        <v>0.28748066796321281</v>
      </c>
      <c r="D15" s="101">
        <v>0.28748066796321281</v>
      </c>
      <c r="E15" s="101">
        <v>0.28748066796321281</v>
      </c>
      <c r="F15" s="101">
        <v>0.28748066796321281</v>
      </c>
    </row>
    <row r="16" spans="1:8" ht="15.75" customHeight="1" x14ac:dyDescent="0.25">
      <c r="B16" s="19" t="s">
        <v>89</v>
      </c>
      <c r="C16" s="101">
        <v>5.0147283635475083E-2</v>
      </c>
      <c r="D16" s="101">
        <v>5.0147283635475083E-2</v>
      </c>
      <c r="E16" s="101">
        <v>5.0147283635475083E-2</v>
      </c>
      <c r="F16" s="101">
        <v>5.0147283635475083E-2</v>
      </c>
    </row>
    <row r="17" spans="1:8" ht="15.75" customHeight="1" x14ac:dyDescent="0.25">
      <c r="B17" s="19" t="s">
        <v>90</v>
      </c>
      <c r="C17" s="101">
        <v>1.485571103059875E-2</v>
      </c>
      <c r="D17" s="101">
        <v>1.485571103059875E-2</v>
      </c>
      <c r="E17" s="101">
        <v>1.485571103059875E-2</v>
      </c>
      <c r="F17" s="101">
        <v>1.485571103059875E-2</v>
      </c>
    </row>
    <row r="18" spans="1:8" ht="15.75" customHeight="1" x14ac:dyDescent="0.25">
      <c r="B18" s="19" t="s">
        <v>91</v>
      </c>
      <c r="C18" s="101">
        <v>0.113311026172252</v>
      </c>
      <c r="D18" s="101">
        <v>0.113311026172252</v>
      </c>
      <c r="E18" s="101">
        <v>0.113311026172252</v>
      </c>
      <c r="F18" s="101">
        <v>0.113311026172252</v>
      </c>
    </row>
    <row r="19" spans="1:8" ht="15.75" customHeight="1" x14ac:dyDescent="0.25">
      <c r="B19" s="19" t="s">
        <v>92</v>
      </c>
      <c r="C19" s="101">
        <v>2.0832431100539759E-2</v>
      </c>
      <c r="D19" s="101">
        <v>2.0832431100539759E-2</v>
      </c>
      <c r="E19" s="101">
        <v>2.0832431100539759E-2</v>
      </c>
      <c r="F19" s="101">
        <v>2.0832431100539759E-2</v>
      </c>
    </row>
    <row r="20" spans="1:8" ht="15.75" customHeight="1" x14ac:dyDescent="0.25">
      <c r="B20" s="19" t="s">
        <v>93</v>
      </c>
      <c r="C20" s="101">
        <v>5.6682828741777803E-2</v>
      </c>
      <c r="D20" s="101">
        <v>5.6682828741777803E-2</v>
      </c>
      <c r="E20" s="101">
        <v>5.6682828741777803E-2</v>
      </c>
      <c r="F20" s="101">
        <v>5.6682828741777803E-2</v>
      </c>
    </row>
    <row r="21" spans="1:8" ht="15.75" customHeight="1" x14ac:dyDescent="0.25">
      <c r="B21" s="19" t="s">
        <v>94</v>
      </c>
      <c r="C21" s="101">
        <v>8.5374155968913248E-2</v>
      </c>
      <c r="D21" s="101">
        <v>8.5374155968913248E-2</v>
      </c>
      <c r="E21" s="101">
        <v>8.5374155968913248E-2</v>
      </c>
      <c r="F21" s="101">
        <v>8.5374155968913248E-2</v>
      </c>
    </row>
    <row r="22" spans="1:8" ht="15.75" customHeight="1" x14ac:dyDescent="0.25">
      <c r="B22" s="19" t="s">
        <v>95</v>
      </c>
      <c r="C22" s="101">
        <v>0.22907710452092839</v>
      </c>
      <c r="D22" s="101">
        <v>0.22907710452092839</v>
      </c>
      <c r="E22" s="101">
        <v>0.22907710452092839</v>
      </c>
      <c r="F22" s="101">
        <v>0.22907710452092839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4.6824316999999997E-2</v>
      </c>
    </row>
    <row r="27" spans="1:8" ht="15.75" customHeight="1" x14ac:dyDescent="0.25">
      <c r="B27" s="19" t="s">
        <v>102</v>
      </c>
      <c r="C27" s="101">
        <v>2.7708330999999999E-2</v>
      </c>
    </row>
    <row r="28" spans="1:8" ht="15.75" customHeight="1" x14ac:dyDescent="0.25">
      <c r="B28" s="19" t="s">
        <v>103</v>
      </c>
      <c r="C28" s="101">
        <v>0.192682248</v>
      </c>
    </row>
    <row r="29" spans="1:8" ht="15.75" customHeight="1" x14ac:dyDescent="0.25">
      <c r="B29" s="19" t="s">
        <v>104</v>
      </c>
      <c r="C29" s="101">
        <v>0.15047112300000001</v>
      </c>
    </row>
    <row r="30" spans="1:8" ht="15.75" customHeight="1" x14ac:dyDescent="0.25">
      <c r="B30" s="19" t="s">
        <v>2</v>
      </c>
      <c r="C30" s="101">
        <v>4.9998465000000013E-2</v>
      </c>
    </row>
    <row r="31" spans="1:8" ht="15.75" customHeight="1" x14ac:dyDescent="0.25">
      <c r="B31" s="19" t="s">
        <v>105</v>
      </c>
      <c r="C31" s="101">
        <v>3.0442113E-2</v>
      </c>
    </row>
    <row r="32" spans="1:8" ht="15.75" customHeight="1" x14ac:dyDescent="0.25">
      <c r="B32" s="19" t="s">
        <v>106</v>
      </c>
      <c r="C32" s="101">
        <v>8.5598303000000001E-2</v>
      </c>
    </row>
    <row r="33" spans="2:3" ht="15.75" customHeight="1" x14ac:dyDescent="0.25">
      <c r="B33" s="19" t="s">
        <v>107</v>
      </c>
      <c r="C33" s="101">
        <v>0.16741062000000001</v>
      </c>
    </row>
    <row r="34" spans="2:3" ht="15.75" customHeight="1" x14ac:dyDescent="0.25">
      <c r="B34" s="19" t="s">
        <v>108</v>
      </c>
      <c r="C34" s="101">
        <v>0.24886448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2xTJOQGn6rOq9Tqe+F8J2IhiT1R5apbCEB/VPKrBCINfmM3iubEuCBM165eFCInuKj3/5pPK5c6SdDfTkLI2CA==" saltValue="A33gsnuitrDHp75aM1opN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0.57247399084166029</v>
      </c>
      <c r="D2" s="52">
        <f>IFERROR(1-_xlfn.NORM.DIST(_xlfn.NORM.INV(SUM(D4:D5), 0, 1) + 1, 0, 1, TRUE), "")</f>
        <v>0.57247399084166029</v>
      </c>
      <c r="E2" s="52">
        <f>IFERROR(1-_xlfn.NORM.DIST(_xlfn.NORM.INV(SUM(E4:E5), 0, 1) + 1, 0, 1, TRUE), "")</f>
        <v>0.47509587476377879</v>
      </c>
      <c r="F2" s="52">
        <f>IFERROR(1-_xlfn.NORM.DIST(_xlfn.NORM.INV(SUM(F4:F5), 0, 1) + 1, 0, 1, TRUE), "")</f>
        <v>0.30851661402352026</v>
      </c>
      <c r="G2" s="52">
        <f>IFERROR(1-_xlfn.NORM.DIST(_xlfn.NORM.INV(SUM(G4:G5), 0, 1) + 1, 0, 1, TRUE), "")</f>
        <v>0.27250172408455453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0.30905727751657031</v>
      </c>
      <c r="D3" s="52">
        <f>IFERROR(_xlfn.NORM.DIST(_xlfn.NORM.INV(SUM(D4:D5), 0, 1) + 1, 0, 1, TRUE) - SUM(D4:D5), "")</f>
        <v>0.30905727751657031</v>
      </c>
      <c r="E3" s="52">
        <f>IFERROR(_xlfn.NORM.DIST(_xlfn.NORM.INV(SUM(E4:E5), 0, 1) + 1, 0, 1, TRUE) - SUM(E4:E5), "")</f>
        <v>0.35066215773696513</v>
      </c>
      <c r="F3" s="52">
        <f>IFERROR(_xlfn.NORM.DIST(_xlfn.NORM.INV(SUM(F4:F5), 0, 1) + 1, 0, 1, TRUE) - SUM(F4:F5), "")</f>
        <v>0.38292492192618677</v>
      </c>
      <c r="G3" s="52">
        <f>IFERROR(_xlfn.NORM.DIST(_xlfn.NORM.INV(SUM(G4:G5), 0, 1) + 1, 0, 1, TRUE) - SUM(G4:G5), "")</f>
        <v>0.3809793272412435</v>
      </c>
    </row>
    <row r="4" spans="1:15" ht="15.75" customHeight="1" x14ac:dyDescent="0.25">
      <c r="B4" s="5" t="s">
        <v>114</v>
      </c>
      <c r="C4" s="45">
        <v>4.7722220420837402E-2</v>
      </c>
      <c r="D4" s="53">
        <v>4.7722220420837402E-2</v>
      </c>
      <c r="E4" s="53">
        <v>8.7833374738693196E-2</v>
      </c>
      <c r="F4" s="53">
        <v>0.153509572148323</v>
      </c>
      <c r="G4" s="53">
        <v>0.150337129831314</v>
      </c>
    </row>
    <row r="5" spans="1:15" ht="15.75" customHeight="1" x14ac:dyDescent="0.25">
      <c r="B5" s="5" t="s">
        <v>115</v>
      </c>
      <c r="C5" s="45">
        <v>7.0746511220931993E-2</v>
      </c>
      <c r="D5" s="53">
        <v>7.0746511220931993E-2</v>
      </c>
      <c r="E5" s="53">
        <v>8.6408592760562897E-2</v>
      </c>
      <c r="F5" s="53">
        <v>0.15504889190196999</v>
      </c>
      <c r="G5" s="53">
        <v>0.19618181884288799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0.43845576271655351</v>
      </c>
      <c r="D8" s="52">
        <f>IFERROR(1-_xlfn.NORM.DIST(_xlfn.NORM.INV(SUM(D10:D11), 0, 1) + 1, 0, 1, TRUE), "")</f>
        <v>0.43845576271655351</v>
      </c>
      <c r="E8" s="52">
        <f>IFERROR(1-_xlfn.NORM.DIST(_xlfn.NORM.INV(SUM(E10:E11), 0, 1) + 1, 0, 1, TRUE), "")</f>
        <v>0.34813286014513767</v>
      </c>
      <c r="F8" s="52">
        <f>IFERROR(1-_xlfn.NORM.DIST(_xlfn.NORM.INV(SUM(F10:F11), 0, 1) + 1, 0, 1, TRUE), "")</f>
        <v>0.40303041241498305</v>
      </c>
      <c r="G8" s="52">
        <f>IFERROR(1-_xlfn.NORM.DIST(_xlfn.NORM.INV(SUM(G10:G11), 0, 1) + 1, 0, 1, TRUE), "")</f>
        <v>0.41271241511184598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0.36252075955031093</v>
      </c>
      <c r="D9" s="52">
        <f>IFERROR(_xlfn.NORM.DIST(_xlfn.NORM.INV(SUM(D10:D11), 0, 1) + 1, 0, 1, TRUE) - SUM(D10:D11), "")</f>
        <v>0.36252075955031093</v>
      </c>
      <c r="E9" s="52">
        <f>IFERROR(_xlfn.NORM.DIST(_xlfn.NORM.INV(SUM(E10:E11), 0, 1) + 1, 0, 1, TRUE) - SUM(E10:E11), "")</f>
        <v>0.38081490598006429</v>
      </c>
      <c r="F9" s="52">
        <f>IFERROR(_xlfn.NORM.DIST(_xlfn.NORM.INV(SUM(F10:F11), 0, 1) + 1, 0, 1, TRUE) - SUM(F10:F11), "")</f>
        <v>0.37169177629618316</v>
      </c>
      <c r="G9" s="52">
        <f>IFERROR(_xlfn.NORM.DIST(_xlfn.NORM.INV(SUM(G10:G11), 0, 1) + 1, 0, 1, TRUE) - SUM(G10:G11), "")</f>
        <v>0.3694234365693867</v>
      </c>
    </row>
    <row r="10" spans="1:15" ht="15.75" customHeight="1" x14ac:dyDescent="0.25">
      <c r="B10" s="5" t="s">
        <v>119</v>
      </c>
      <c r="C10" s="45">
        <v>0.112000979483128</v>
      </c>
      <c r="D10" s="53">
        <v>0.112000979483128</v>
      </c>
      <c r="E10" s="53">
        <v>0.15598480403423301</v>
      </c>
      <c r="F10" s="53">
        <v>0.12805274128913899</v>
      </c>
      <c r="G10" s="53">
        <v>0.123658940196037</v>
      </c>
    </row>
    <row r="11" spans="1:15" ht="15.75" customHeight="1" x14ac:dyDescent="0.25">
      <c r="B11" s="5" t="s">
        <v>120</v>
      </c>
      <c r="C11" s="45">
        <v>8.7022498250007588E-2</v>
      </c>
      <c r="D11" s="53">
        <v>8.7022498250007588E-2</v>
      </c>
      <c r="E11" s="53">
        <v>0.11506742984056501</v>
      </c>
      <c r="F11" s="53">
        <v>9.722506999969481E-2</v>
      </c>
      <c r="G11" s="53">
        <v>9.4205208122730311E-2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S9855l4h0PHlAcn9BPa2t23qdJ13IQ/X6yURPHFW/HZ2L1TRJswqYguTSdL6YLJTFZNdIUYLXxKpMjOUPuU5w==" saltValue="30efw8UhrSfH9gXGM6FO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0.61253422498703003</v>
      </c>
      <c r="D2" s="53">
        <v>0.41144239999999999</v>
      </c>
      <c r="E2" s="53"/>
      <c r="F2" s="53"/>
      <c r="G2" s="53"/>
    </row>
    <row r="3" spans="1:7" x14ac:dyDescent="0.25">
      <c r="B3" s="3" t="s">
        <v>130</v>
      </c>
      <c r="C3" s="53">
        <v>0.22120472788810699</v>
      </c>
      <c r="D3" s="53">
        <v>0.29817589999999999</v>
      </c>
      <c r="E3" s="53"/>
      <c r="F3" s="53"/>
      <c r="G3" s="53"/>
    </row>
    <row r="4" spans="1:7" x14ac:dyDescent="0.25">
      <c r="B4" s="3" t="s">
        <v>131</v>
      </c>
      <c r="C4" s="53">
        <v>7.4739158153533894E-2</v>
      </c>
      <c r="D4" s="53">
        <v>0.23041149999999999</v>
      </c>
      <c r="E4" s="53">
        <v>0.90059196949005094</v>
      </c>
      <c r="F4" s="53">
        <v>0.61897557973861705</v>
      </c>
      <c r="G4" s="53"/>
    </row>
    <row r="5" spans="1:7" x14ac:dyDescent="0.25">
      <c r="B5" s="3" t="s">
        <v>132</v>
      </c>
      <c r="C5" s="52">
        <v>9.1521896421909291E-2</v>
      </c>
      <c r="D5" s="52">
        <v>5.9970259666442899E-2</v>
      </c>
      <c r="E5" s="52">
        <f>1-SUM(E2:E4)</f>
        <v>9.9408030509949064E-2</v>
      </c>
      <c r="F5" s="52">
        <f>1-SUM(F2:F4)</f>
        <v>0.38102442026138295</v>
      </c>
      <c r="G5" s="52">
        <f>1-SUM(G2:G4)</f>
        <v>1</v>
      </c>
    </row>
  </sheetData>
  <sheetProtection algorithmName="SHA-512" hashValue="rj9r5nTnis/6agceYhvil+27qx7Sue3W98Uq8gS4b5G6AXo+9r1LuLdIdJV8qyBLtHeQEmUxBDXDOXEZHmhNgw==" saltValue="VT31aMO7WqKqQBPrkGVV3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XikWX7nTIXAGW7E5ZVt/K9qz83EFXM9jG83tAkVHfVjovvT+CHCwxat2gVNF55MUJFhU4ALZyQBuqgP/iLglg==" saltValue="FNcyRt7gbqGBfturXZ7BB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e9lJzE5Y11ibqxx+5s7ecPrUlMktBxhggzuczPW8FO4WT3V5dLbgX3gOltrxmcDEFnYXBCzyvaeLMpCIZwaVbw==" saltValue="10Pzll2SskGV9YLTHIy9y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P1VYoT6r9/UCuXQ2ArojFRR6+1nX64WhqwOS3e/Rs61UkrDKx+dXLJKAnSZDAk1uOwvcvQ/D6arAn8Iswz0IyA==" saltValue="NgSVfPq/WisiepboKWEA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AJZEECQG6D2lIoF9Uxypu4KoWnCAIePR35h0HvLobmWvk9MfQRaRfB88PKfY/rDm5S9blJwAsepnmMVWB7cOQ==" saltValue="ZFvDZzDfhYx2qM6/ZGrc1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2024-03-18T01:57:01Z</dcterms:modified>
</cp:coreProperties>
</file>