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0D5F842-1CFA-4FCB-A682-D5FBA88C440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A35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H2" i="2"/>
  <c r="G2" i="2"/>
  <c r="A2" i="2"/>
  <c r="A39" i="2" s="1"/>
  <c r="C33" i="1"/>
  <c r="C20" i="1"/>
  <c r="I2" i="2" l="1"/>
  <c r="A19" i="2"/>
  <c r="I6" i="2"/>
  <c r="A27" i="2"/>
  <c r="A12" i="2"/>
  <c r="A36" i="2"/>
  <c r="A37" i="2"/>
  <c r="A20" i="2"/>
  <c r="A13" i="2"/>
  <c r="A21" i="2"/>
  <c r="A29" i="2"/>
  <c r="A14" i="2"/>
  <c r="A22" i="2"/>
  <c r="A30" i="2"/>
  <c r="A38" i="2"/>
  <c r="A40" i="2"/>
  <c r="A15" i="2"/>
  <c r="A23" i="2"/>
  <c r="A31" i="2"/>
  <c r="A2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<sst xmlns="http://schemas.openxmlformats.org/spreadsheetml/2006/main" count="2092" uniqueCount="337">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</sst>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3337502.5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0.1173</v>
      </c>
    </row>
    <row r="10" spans="1:3" ht="15" customHeight="1" x14ac:dyDescent="0.25">
      <c r="B10" s="5" t="s">
        <v>21</v>
      </c>
      <c r="C10" s="45">
        <v>0.77493057250976605</v>
      </c>
    </row>
    <row r="11" spans="1:3" ht="15" customHeight="1" x14ac:dyDescent="0.25">
      <c r="B11" s="5" t="s">
        <v>22</v>
      </c>
      <c r="C11" s="45">
        <v>0.90799999999999992</v>
      </c>
    </row>
    <row r="12" spans="1:3" ht="15" customHeight="1" x14ac:dyDescent="0.25">
      <c r="B12" s="5" t="s">
        <v>23</v>
      </c>
      <c r="C12" s="45">
        <v>0.79500000000000004</v>
      </c>
    </row>
    <row r="13" spans="1:3" ht="15" customHeight="1" x14ac:dyDescent="0.25">
      <c r="B13" s="5" t="s">
        <v>24</v>
      </c>
      <c r="C13" s="45">
        <v>0.108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0.1774</v>
      </c>
    </row>
    <row r="24" spans="1:3" ht="15" customHeight="1" x14ac:dyDescent="0.25">
      <c r="B24" s="15" t="s">
        <v>33</v>
      </c>
      <c r="C24" s="45">
        <v>0.45540000000000003</v>
      </c>
    </row>
    <row r="25" spans="1:3" ht="15" customHeight="1" x14ac:dyDescent="0.25">
      <c r="B25" s="15" t="s">
        <v>34</v>
      </c>
      <c r="C25" s="45">
        <v>0.34060000000000001</v>
      </c>
    </row>
    <row r="26" spans="1:3" ht="15" customHeight="1" x14ac:dyDescent="0.25">
      <c r="B26" s="15" t="s">
        <v>35</v>
      </c>
      <c r="C26" s="45">
        <v>2.6599999999999999E-2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0.35684780829643198</v>
      </c>
    </row>
    <row r="30" spans="1:3" ht="14.25" customHeight="1" x14ac:dyDescent="0.25">
      <c r="B30" s="25" t="s">
        <v>38</v>
      </c>
      <c r="C30" s="99">
        <v>7.0757674729292397E-2</v>
      </c>
    </row>
    <row r="31" spans="1:3" ht="14.25" customHeight="1" x14ac:dyDescent="0.25">
      <c r="B31" s="25" t="s">
        <v>39</v>
      </c>
      <c r="C31" s="99">
        <v>8.0230039179197701E-2</v>
      </c>
    </row>
    <row r="32" spans="1:3" ht="14.25" customHeight="1" x14ac:dyDescent="0.25">
      <c r="B32" s="25" t="s">
        <v>40</v>
      </c>
      <c r="C32" s="99">
        <v>0.49216447779507799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5.3125907897737603</v>
      </c>
    </row>
    <row r="38" spans="1:5" ht="15" customHeight="1" x14ac:dyDescent="0.25">
      <c r="B38" s="11" t="s">
        <v>45</v>
      </c>
      <c r="C38" s="43">
        <v>7.7208704292769799</v>
      </c>
      <c r="D38" s="12"/>
      <c r="E38" s="13"/>
    </row>
    <row r="39" spans="1:5" ht="15" customHeight="1" x14ac:dyDescent="0.25">
      <c r="B39" s="11" t="s">
        <v>46</v>
      </c>
      <c r="C39" s="43">
        <v>9.0147037932328402</v>
      </c>
      <c r="D39" s="12"/>
      <c r="E39" s="12"/>
    </row>
    <row r="40" spans="1:5" ht="15" customHeight="1" x14ac:dyDescent="0.25">
      <c r="B40" s="11" t="s">
        <v>47</v>
      </c>
      <c r="C40" s="100">
        <v>0.37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5.759119213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6.5212999999999998E-3</v>
      </c>
      <c r="D45" s="12"/>
    </row>
    <row r="46" spans="1:5" ht="15.75" customHeight="1" x14ac:dyDescent="0.25">
      <c r="B46" s="11" t="s">
        <v>52</v>
      </c>
      <c r="C46" s="45">
        <v>7.7093700000000001E-2</v>
      </c>
      <c r="D46" s="12"/>
    </row>
    <row r="47" spans="1:5" ht="15.75" customHeight="1" x14ac:dyDescent="0.25">
      <c r="B47" s="11" t="s">
        <v>53</v>
      </c>
      <c r="C47" s="45">
        <v>8.8080599999999995E-2</v>
      </c>
      <c r="D47" s="12"/>
      <c r="E47" s="13"/>
    </row>
    <row r="48" spans="1:5" ht="15" customHeight="1" x14ac:dyDescent="0.25">
      <c r="B48" s="11" t="s">
        <v>54</v>
      </c>
      <c r="C48" s="46">
        <v>0.82830439999999994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0.56939699999999993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0.10516175</v>
      </c>
    </row>
    <row r="63" spans="1:4" ht="15.75" customHeight="1" x14ac:dyDescent="0.3">
      <c r="A63" s="4"/>
    </row>
  </sheetData>
  <sheetProtection algorithmName="SHA-512" hashValue="S/nR7ck0Jw4PyaK/CHQ9govM6Gp87ND1a4r/N/RYxrN4/sI4Bdn5uuNG0oeV/u2X21LJnHH7om1oxyRIQLlQfA==" saltValue="3LWbVu9d0YMHXVuLV3nH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0.29877895771483398</v>
      </c>
      <c r="C2" s="98">
        <v>0.95</v>
      </c>
      <c r="D2" s="56">
        <v>69.29767297109683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40.13269466976994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591.06209321591393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3.2006003828390139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13.26499411356585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13.26499411356585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13.26499411356585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13.26499411356585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13.26499411356585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13.26499411356585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0.52197676142066196</v>
      </c>
      <c r="C16" s="98">
        <v>0.95</v>
      </c>
      <c r="D16" s="56">
        <v>0.97175991346119572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13.572928096468379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13.572928096468379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0.420254856348038</v>
      </c>
      <c r="C21" s="98">
        <v>0.95</v>
      </c>
      <c r="D21" s="56">
        <v>28.571116697776191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23.023699585983909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0.2053175163</v>
      </c>
      <c r="C23" s="98">
        <v>0.95</v>
      </c>
      <c r="D23" s="56">
        <v>4.4373468308323929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0.78280135879993795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0.265042972213757</v>
      </c>
      <c r="C27" s="98">
        <v>0.95</v>
      </c>
      <c r="D27" s="56">
        <v>18.82704421276744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0.72505279999999994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139.36614501431501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1.6292436938648731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0.14422682000000001</v>
      </c>
      <c r="C32" s="98">
        <v>0.95</v>
      </c>
      <c r="D32" s="56">
        <v>2.1125177492988438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0.98750734610525792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2.415723197099835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0.69243133540000001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V1Ipw0oSmBmCKqe9uJ9oyBYVAn0wpX90MoCjeg+06n9aqlhDxWZk8KpubzwoyFFVIAad+CB7c5vzCTCujQh9A==" saltValue="hdMGpu+ofvyGRIkmSrA3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5Aj0HlJ6yosDdk1Fx2twNx7Kcsj3Gc3d9e/Ma7Ym86uBzYKmlnd/ZnipJ+p5bA77Zb+VDBRdDlt4rcesJH/gA==" saltValue="iYGqfEGZiLRG04LY9SU/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S4DGhFNp/ts3hyJalfRTuS1xtBgyUXtFZV1AYWFcYHJAc0h9JK9aWEysuH31L7KGcgvdT0rXCrRdC6iUen1ooQ==" saltValue="yKQfn+gQC7s1tkXXzido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0.25732627063989638</v>
      </c>
      <c r="C3" s="21">
        <f>frac_mam_1_5months * 2.6</f>
        <v>0.25732627063989638</v>
      </c>
      <c r="D3" s="21">
        <f>frac_mam_6_11months * 2.6</f>
        <v>6.7543538287281935E-2</v>
      </c>
      <c r="E3" s="21">
        <f>frac_mam_12_23months * 2.6</f>
        <v>8.2304255664348638E-2</v>
      </c>
      <c r="F3" s="21">
        <f>frac_mam_24_59months * 2.6</f>
        <v>9.4167823344469159E-2</v>
      </c>
    </row>
    <row r="4" spans="1:6" ht="15.75" customHeight="1" x14ac:dyDescent="0.25">
      <c r="A4" s="3" t="s">
        <v>208</v>
      </c>
      <c r="B4" s="21">
        <f>frac_sam_1month * 2.6</f>
        <v>6.4519103243947037E-2</v>
      </c>
      <c r="C4" s="21">
        <f>frac_sam_1_5months * 2.6</f>
        <v>6.4519103243947037E-2</v>
      </c>
      <c r="D4" s="21">
        <f>frac_sam_6_11months * 2.6</f>
        <v>3.2658534497022718E-2</v>
      </c>
      <c r="E4" s="21">
        <f>frac_sam_12_23months * 2.6</f>
        <v>4.013551827520144E-2</v>
      </c>
      <c r="F4" s="21">
        <f>frac_sam_24_59months * 2.6</f>
        <v>3.2685422152280826E-2</v>
      </c>
    </row>
  </sheetData>
  <sheetProtection algorithmName="SHA-512" hashValue="WAxXwazMlf94lZv6PFUZD2/VPFgxuDDOK+0fMgCzbA9AUjF/cWiOenIuUy96BUPM1DucD+Nl6xVqFwk6yH9o3Q==" saltValue="oL6vp2K28L2HB22NjCA6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0.79500000000000004</v>
      </c>
      <c r="E10" s="60">
        <f>IF(ISBLANK(comm_deliv), frac_children_health_facility,1)</f>
        <v>0.79500000000000004</v>
      </c>
      <c r="F10" s="60">
        <f>IF(ISBLANK(comm_deliv), frac_children_health_facility,1)</f>
        <v>0.79500000000000004</v>
      </c>
      <c r="G10" s="60">
        <f>IF(ISBLANK(comm_deliv), frac_children_health_facility,1)</f>
        <v>0.79500000000000004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0.90799999999999992</v>
      </c>
      <c r="I18" s="60">
        <f>frac_PW_health_facility</f>
        <v>0.90799999999999992</v>
      </c>
      <c r="J18" s="60">
        <f>frac_PW_health_facility</f>
        <v>0.90799999999999992</v>
      </c>
      <c r="K18" s="60">
        <f>frac_PW_health_facility</f>
        <v>0.90799999999999992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0.1173</v>
      </c>
      <c r="I19" s="60">
        <f>frac_malaria_risk</f>
        <v>0.1173</v>
      </c>
      <c r="J19" s="60">
        <f>frac_malaria_risk</f>
        <v>0.1173</v>
      </c>
      <c r="K19" s="60">
        <f>frac_malaria_risk</f>
        <v>0.1173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0.108</v>
      </c>
      <c r="M24" s="60">
        <f>famplan_unmet_need</f>
        <v>0.108</v>
      </c>
      <c r="N24" s="60">
        <f>famplan_unmet_need</f>
        <v>0.108</v>
      </c>
      <c r="O24" s="60">
        <f>famplan_unmet_need</f>
        <v>0.108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0.11028401947021463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4.7264579772949129E-2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6.7520828247070189E-2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0.77493057250976605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0.1173</v>
      </c>
      <c r="D34" s="60">
        <f t="shared" si="3"/>
        <v>0.1173</v>
      </c>
      <c r="E34" s="60">
        <f t="shared" si="3"/>
        <v>0.1173</v>
      </c>
      <c r="F34" s="60">
        <f t="shared" si="3"/>
        <v>0.1173</v>
      </c>
      <c r="G34" s="60">
        <f t="shared" si="3"/>
        <v>0.1173</v>
      </c>
      <c r="H34" s="60">
        <f t="shared" si="3"/>
        <v>0.1173</v>
      </c>
      <c r="I34" s="60">
        <f t="shared" si="3"/>
        <v>0.1173</v>
      </c>
      <c r="J34" s="60">
        <f t="shared" si="3"/>
        <v>0.1173</v>
      </c>
      <c r="K34" s="60">
        <f t="shared" si="3"/>
        <v>0.1173</v>
      </c>
      <c r="L34" s="60">
        <f t="shared" si="3"/>
        <v>0.1173</v>
      </c>
      <c r="M34" s="60">
        <f t="shared" si="3"/>
        <v>0.1173</v>
      </c>
      <c r="N34" s="60">
        <f t="shared" si="3"/>
        <v>0.1173</v>
      </c>
      <c r="O34" s="60">
        <f t="shared" si="3"/>
        <v>0.1173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5pZFOuRkWAlT/uBmJju0ly78GoxlP+OA3TT4DBb/n41QXDk5vXP8sFuwQB3VABRDEB3yn9KPk80Wcu5ehzfBQ==" saltValue="xeaZxVdobsB4BHruBLAE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yVY04U+o9PBkRLZtAqXbZ8OvwsANGwSffPUn/Q2OIgowj5B/9IxP8qahGxqMIeqx1kNyMEG4888Os2BAQhy6Bw==" saltValue="RjhgVHVZhAHwkcjMqVOd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anTuLY0o7mPkXQ2iH3dverYpriFTrbuaiL0WnacrFByczKblDGdZjrdHxe3uySlV4oXEiTmr3LbsS9wTrHueQ==" saltValue="HVTKv2OSF2h8o9j0EBJg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Sud7AegYEaAvtjWkXNHX12VlcRgryIPgSjuDM6fVAscVpubXe4Ls4kTviq4nPej5watk/DjCt2HSBXaEa+aTg==" saltValue="U2/OlTkR1Npz8Ia6Axpkb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OHPwapymahbE/vdbs3R2xT25EbA3u8pyEfVeojFw+aFshwblgrI9QZkPYpAeBFstrC5dZJt7fjyIc2oxqxqIw==" saltValue="qeu+wYXC5Lpy4p3a0k8bc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MzFyY+dGxR6KeagT2hGCvJD5Ot5bGJU/w9iBidQ30HIshZoEIPH8TOh+gg92xPRawNiu33rWpg7XI+0VWCWEg==" saltValue="U/1lwg4QaavUxx7UqO2R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657159.18839999998</v>
      </c>
      <c r="C2" s="49">
        <v>2101000</v>
      </c>
      <c r="D2" s="49">
        <v>4735000</v>
      </c>
      <c r="E2" s="49">
        <v>69000</v>
      </c>
      <c r="F2" s="49">
        <v>46000</v>
      </c>
      <c r="G2" s="17">
        <f t="shared" ref="G2:G11" si="0">C2+D2+E2+F2</f>
        <v>6951000</v>
      </c>
      <c r="H2" s="17">
        <f t="shared" ref="H2:H11" si="1">(B2 + stillbirth*B2/(1000-stillbirth))/(1-abortion)</f>
        <v>751097.4648405991</v>
      </c>
      <c r="I2" s="17">
        <f t="shared" ref="I2:I11" si="2">G2-H2</f>
        <v>6199902.5351594007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652241.74080000003</v>
      </c>
      <c r="C3" s="50">
        <v>2072000</v>
      </c>
      <c r="D3" s="50">
        <v>4695000</v>
      </c>
      <c r="E3" s="50">
        <v>70000</v>
      </c>
      <c r="F3" s="50">
        <v>45000</v>
      </c>
      <c r="G3" s="17">
        <f t="shared" si="0"/>
        <v>6882000</v>
      </c>
      <c r="H3" s="17">
        <f t="shared" si="1"/>
        <v>745477.08778273733</v>
      </c>
      <c r="I3" s="17">
        <f t="shared" si="2"/>
        <v>6136522.9122172631</v>
      </c>
    </row>
    <row r="4" spans="1:9" ht="15.75" customHeight="1" x14ac:dyDescent="0.25">
      <c r="A4" s="5">
        <f t="shared" si="3"/>
        <v>2023</v>
      </c>
      <c r="B4" s="49">
        <v>647155.04340000008</v>
      </c>
      <c r="C4" s="50">
        <v>2047000</v>
      </c>
      <c r="D4" s="50">
        <v>4635000</v>
      </c>
      <c r="E4" s="50">
        <v>71000</v>
      </c>
      <c r="F4" s="50">
        <v>44000</v>
      </c>
      <c r="G4" s="17">
        <f t="shared" si="0"/>
        <v>6797000</v>
      </c>
      <c r="H4" s="17">
        <f t="shared" si="1"/>
        <v>739663.2673431976</v>
      </c>
      <c r="I4" s="17">
        <f t="shared" si="2"/>
        <v>6057336.7326568021</v>
      </c>
    </row>
    <row r="5" spans="1:9" ht="15.75" customHeight="1" x14ac:dyDescent="0.25">
      <c r="A5" s="5">
        <f t="shared" si="3"/>
        <v>2024</v>
      </c>
      <c r="B5" s="49">
        <v>641930.83200000017</v>
      </c>
      <c r="C5" s="50">
        <v>2023000</v>
      </c>
      <c r="D5" s="50">
        <v>4568000</v>
      </c>
      <c r="E5" s="50">
        <v>73000</v>
      </c>
      <c r="F5" s="50">
        <v>45000</v>
      </c>
      <c r="G5" s="17">
        <f t="shared" si="0"/>
        <v>6709000</v>
      </c>
      <c r="H5" s="17">
        <f t="shared" si="1"/>
        <v>733692.27582760318</v>
      </c>
      <c r="I5" s="17">
        <f t="shared" si="2"/>
        <v>5975307.7241723966</v>
      </c>
    </row>
    <row r="6" spans="1:9" ht="15.75" customHeight="1" x14ac:dyDescent="0.25">
      <c r="A6" s="5">
        <f t="shared" si="3"/>
        <v>2025</v>
      </c>
      <c r="B6" s="49">
        <v>636572.47499999998</v>
      </c>
      <c r="C6" s="50">
        <v>1998000</v>
      </c>
      <c r="D6" s="50">
        <v>4498000</v>
      </c>
      <c r="E6" s="50">
        <v>77000</v>
      </c>
      <c r="F6" s="50">
        <v>47000</v>
      </c>
      <c r="G6" s="17">
        <f t="shared" si="0"/>
        <v>6620000</v>
      </c>
      <c r="H6" s="17">
        <f t="shared" si="1"/>
        <v>727567.9631352555</v>
      </c>
      <c r="I6" s="17">
        <f t="shared" si="2"/>
        <v>5892432.0368647445</v>
      </c>
    </row>
    <row r="7" spans="1:9" ht="15.75" customHeight="1" x14ac:dyDescent="0.25">
      <c r="A7" s="5">
        <f t="shared" si="3"/>
        <v>2026</v>
      </c>
      <c r="B7" s="49">
        <v>634971.82979999995</v>
      </c>
      <c r="C7" s="50">
        <v>1974000</v>
      </c>
      <c r="D7" s="50">
        <v>4429000</v>
      </c>
      <c r="E7" s="50">
        <v>80000</v>
      </c>
      <c r="F7" s="50">
        <v>48000</v>
      </c>
      <c r="G7" s="17">
        <f t="shared" si="0"/>
        <v>6531000</v>
      </c>
      <c r="H7" s="17">
        <f t="shared" si="1"/>
        <v>725738.51210869919</v>
      </c>
      <c r="I7" s="17">
        <f t="shared" si="2"/>
        <v>5805261.4878913006</v>
      </c>
    </row>
    <row r="8" spans="1:9" ht="15.75" customHeight="1" x14ac:dyDescent="0.25">
      <c r="A8" s="5">
        <f t="shared" si="3"/>
        <v>2027</v>
      </c>
      <c r="B8" s="49">
        <v>633261.46539999987</v>
      </c>
      <c r="C8" s="50">
        <v>1952000</v>
      </c>
      <c r="D8" s="50">
        <v>4355000</v>
      </c>
      <c r="E8" s="50">
        <v>87000</v>
      </c>
      <c r="F8" s="50">
        <v>50000</v>
      </c>
      <c r="G8" s="17">
        <f t="shared" si="0"/>
        <v>6444000</v>
      </c>
      <c r="H8" s="17">
        <f t="shared" si="1"/>
        <v>723783.65796153061</v>
      </c>
      <c r="I8" s="17">
        <f t="shared" si="2"/>
        <v>5720216.3420384694</v>
      </c>
    </row>
    <row r="9" spans="1:9" ht="15.75" customHeight="1" x14ac:dyDescent="0.25">
      <c r="A9" s="5">
        <f t="shared" si="3"/>
        <v>2028</v>
      </c>
      <c r="B9" s="49">
        <v>631433.2139999998</v>
      </c>
      <c r="C9" s="50">
        <v>1928000</v>
      </c>
      <c r="D9" s="50">
        <v>4281000</v>
      </c>
      <c r="E9" s="50">
        <v>92000</v>
      </c>
      <c r="F9" s="50">
        <v>53000</v>
      </c>
      <c r="G9" s="17">
        <f t="shared" si="0"/>
        <v>6354000</v>
      </c>
      <c r="H9" s="17">
        <f t="shared" si="1"/>
        <v>721694.0653394222</v>
      </c>
      <c r="I9" s="17">
        <f t="shared" si="2"/>
        <v>5632305.9346605781</v>
      </c>
    </row>
    <row r="10" spans="1:9" ht="15.75" customHeight="1" x14ac:dyDescent="0.25">
      <c r="A10" s="5">
        <f t="shared" si="3"/>
        <v>2029</v>
      </c>
      <c r="B10" s="49">
        <v>629488.0427999997</v>
      </c>
      <c r="C10" s="50">
        <v>1900000</v>
      </c>
      <c r="D10" s="50">
        <v>4209000</v>
      </c>
      <c r="E10" s="50">
        <v>98000</v>
      </c>
      <c r="F10" s="50">
        <v>55000</v>
      </c>
      <c r="G10" s="17">
        <f t="shared" si="0"/>
        <v>6262000</v>
      </c>
      <c r="H10" s="17">
        <f t="shared" si="1"/>
        <v>719470.83969974401</v>
      </c>
      <c r="I10" s="17">
        <f t="shared" si="2"/>
        <v>5542529.1603002558</v>
      </c>
    </row>
    <row r="11" spans="1:9" ht="15.75" customHeight="1" x14ac:dyDescent="0.25">
      <c r="A11" s="5">
        <f t="shared" si="3"/>
        <v>2030</v>
      </c>
      <c r="B11" s="49">
        <v>627399.88600000006</v>
      </c>
      <c r="C11" s="50">
        <v>1865000</v>
      </c>
      <c r="D11" s="50">
        <v>4142000</v>
      </c>
      <c r="E11" s="50">
        <v>103000</v>
      </c>
      <c r="F11" s="50">
        <v>57000</v>
      </c>
      <c r="G11" s="17">
        <f t="shared" si="0"/>
        <v>6167000</v>
      </c>
      <c r="H11" s="17">
        <f t="shared" si="1"/>
        <v>717084.18924068555</v>
      </c>
      <c r="I11" s="17">
        <f t="shared" si="2"/>
        <v>5449915.8107593143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tt0hrkAeR6MarcUTFayBf3zgcFalvB9KeU9LsxLdMQoHkiowjGTHSQlZfQ3KW2ciKjFoGc0EQJP+tr3qV7F4Q==" saltValue="u1mgPs2sPXs22+Q7C9LmC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1.8745067120197287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1.8745067120197287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1.7225749011103864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1.7225749011103864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1.5408066432342082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1.5408066432342082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1.4611113306042587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1.4611113306042587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2.3007897864203763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2.3007897864203763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2.03394768684959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2.03394768684959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+xsLxgXO+QhDRWQ7YwaXPpUWcDEbSlnBu0jDyGxTdNX1nYj5tijeoIWdl0Yrbbenw7E6oycejNVDXAQtuVmRGQ==" saltValue="1vFulMdwkeyCIa96Tf48l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Cty1qxOCM98IWIs+x16r6N4+NnFV3nJSQ5pAQRWfspBtgPasYJSDKZnTLcq07VcfKbBSyJjtnRoqdfIKNSgDQ==" saltValue="tWSZxca/BOGJffnYBEG5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kEcNUSNAxCGUYIt7uDB+/LR721/GKgdxEVnW3J3EwtEj0BSM/iUWLDdnyvFa8DS8M3WM1ZrpSsJStXT89VFvpg==" saltValue="hXjK8nqFuFaBIR8lYWdN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0.61867905514339672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0.61063340490603735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0.87000593899959522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0.86611558345829176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0.87000593899959522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0.86611558345829176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0.41761277152812992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0.40937475182893218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0.83796747005299987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0.83330200896609796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0.83796747005299987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0.83330200896609796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0.91300797311212933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0.91027181948971947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0.9022268545964679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0.89918904518216825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0.9022268545964679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0.89918904518216825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32uebBqDJ1PThYTOOya7+WJkvhNvu7snO8NmYEW4//uxGwnAWAgTvtVQR9+kWGEftqIt/tlT4LyKFtqGfgTZA==" saltValue="S4uO3dWDqkSdc865V6ky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pNTsSnF6g+aQQVmOzUb9T/JjlgrHon5xnVOL4jV/gD2dceLjetUVvlaeMdV157tRZIRKf+ydk/5rexOGgu0Rg==" saltValue="aFOtyvPsmrX/qbiGiM8j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0.43671859576220595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0.67338882028488034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0.67338882028488034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0.60594460707047959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0.60594460707047959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0.60594460707047959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0.60594460707047959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0.63753106876553434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0.63753106876553434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0.63753106876553434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0.63753106876553434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0.54669911112241609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0.76230986464170147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0.76230986464170147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0.70518867924528317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0.70518867924528317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0.70518867924528317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0.70518867924528317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0.7323340471092078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0.7323340471092078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0.7323340471092078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0.7323340471092078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0.26141842921342473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0.48486301080830324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0.48486301080830324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0.41245593419506466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0.41245593419506466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0.41245593419506466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0.41245593419506466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0.44535545480852706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0.44535545480852706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0.44535545480852706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0.44535545480852706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0.41298137834214244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0.65167017096606594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0.65167017096606594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0.58252156971889768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0.58252156971889768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0.58252156971889768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0.58252156971889768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0.61479198767334342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0.61479198767334342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0.61479198767334342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0.61479198767334342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0.90696657752104026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0.96285914562837904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0.96285914562837904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0.95082450906468208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0.95082450906468208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0.95082450906468208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0.95082450906468208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0.95673992040145361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0.95673992040145361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0.95673992040145361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0.95673992040145361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0.77615443377733662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0.90215819263419228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0.90215819263419228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0.87304811476450439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0.87304811476450439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0.87304811476450439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0.87304811476450439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0.88720956462891964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0.88720956462891964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0.88720956462891964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0.88720956462891964</v>
      </c>
    </row>
  </sheetData>
  <sheetProtection algorithmName="SHA-512" hashValue="K8MGLW9mC8IACUWiChV8LLalkIsF0PoGrZEOwQdLw0PeUd340opnlsLHgc1ML11c+T7Eu7hoyINVL/3G44TCmg==" saltValue="ZqxR/sJTWNIgbFu41Jqn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0.74716227198444163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0.74951402403496981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0.74896605626475354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0.74951205779787955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0.73193143926871407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0.74693672970318159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0.74583017399014506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0.74493376751837204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0.64360786692578775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0.64646706605417004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0.64580020167867169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0.64646467247102157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0.62526761030782618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0.64333404582121767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0.64199160477253125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0.64090530320383698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0.85905380568201462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0.86055903931537925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0.8602086880788038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0.86055778257882598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0.84920289935972459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0.85890922745443854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0.8581993375409811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0.85762358176362707</v>
      </c>
    </row>
  </sheetData>
  <sheetProtection algorithmName="SHA-512" hashValue="Qo9V/KtOLBV3ARibEmvXn9CmPN52I0IBs9Rcd/LUtbVdiDIeoLo4SLIKmHT+7c4FUGFpJ57zqZnaeOe0UcIQWQ==" saltValue="yfa0T+6u9zF5j9OwS0UF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yOw8NkGUOw3ExCO8354qKyzkuKJFUzvSm8GWo/j6rSgkeX8zO0d5iF9Fn6N/t3g5N6wRgFQjR5FDT6oI1xgUQ==" saltValue="5dDJOa2U9Tkl7H/3ZRwA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6wepOxW1jztU7oskwoYTKszKnUs9dfJSYR+RD4TiIKGacKabYNS7SC/Xxg6osVXgtY2wjHgP1dhZWo6ShGU/pg==" saltValue="zY2ogfuySB9tWJYBYGZVO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6.4067727851205722E-2</v>
      </c>
    </row>
    <row r="5" spans="1:8" ht="15.75" customHeight="1" x14ac:dyDescent="0.25">
      <c r="B5" s="19" t="s">
        <v>80</v>
      </c>
      <c r="C5" s="101">
        <v>3.4978241258303927E-2</v>
      </c>
    </row>
    <row r="6" spans="1:8" ht="15.75" customHeight="1" x14ac:dyDescent="0.25">
      <c r="B6" s="19" t="s">
        <v>81</v>
      </c>
      <c r="C6" s="101">
        <v>0.1282337489197056</v>
      </c>
    </row>
    <row r="7" spans="1:8" ht="15.75" customHeight="1" x14ac:dyDescent="0.25">
      <c r="B7" s="19" t="s">
        <v>82</v>
      </c>
      <c r="C7" s="101">
        <v>0.38154829377519278</v>
      </c>
    </row>
    <row r="8" spans="1:8" ht="15.75" customHeight="1" x14ac:dyDescent="0.25">
      <c r="B8" s="19" t="s">
        <v>83</v>
      </c>
      <c r="C8" s="101">
        <v>1.001183290645757E-2</v>
      </c>
    </row>
    <row r="9" spans="1:8" ht="15.75" customHeight="1" x14ac:dyDescent="0.25">
      <c r="B9" s="19" t="s">
        <v>84</v>
      </c>
      <c r="C9" s="101">
        <v>0.26083786892759181</v>
      </c>
    </row>
    <row r="10" spans="1:8" ht="15.75" customHeight="1" x14ac:dyDescent="0.25">
      <c r="B10" s="19" t="s">
        <v>85</v>
      </c>
      <c r="C10" s="101">
        <v>0.1203222863615426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5.6353573270900417E-2</v>
      </c>
      <c r="D14" s="55">
        <v>5.6353573270900417E-2</v>
      </c>
      <c r="E14" s="55">
        <v>5.6353573270900417E-2</v>
      </c>
      <c r="F14" s="55">
        <v>5.6353573270900417E-2</v>
      </c>
    </row>
    <row r="15" spans="1:8" ht="15.75" customHeight="1" x14ac:dyDescent="0.25">
      <c r="B15" s="19" t="s">
        <v>88</v>
      </c>
      <c r="C15" s="101">
        <v>0.15109873281017111</v>
      </c>
      <c r="D15" s="101">
        <v>0.15109873281017111</v>
      </c>
      <c r="E15" s="101">
        <v>0.15109873281017111</v>
      </c>
      <c r="F15" s="101">
        <v>0.15109873281017111</v>
      </c>
    </row>
    <row r="16" spans="1:8" ht="15.75" customHeight="1" x14ac:dyDescent="0.25">
      <c r="B16" s="19" t="s">
        <v>89</v>
      </c>
      <c r="C16" s="101">
        <v>1.6901392755533901E-2</v>
      </c>
      <c r="D16" s="101">
        <v>1.6901392755533901E-2</v>
      </c>
      <c r="E16" s="101">
        <v>1.6901392755533901E-2</v>
      </c>
      <c r="F16" s="101">
        <v>1.6901392755533901E-2</v>
      </c>
    </row>
    <row r="17" spans="1:8" ht="15.75" customHeight="1" x14ac:dyDescent="0.25">
      <c r="B17" s="19" t="s">
        <v>90</v>
      </c>
      <c r="C17" s="101">
        <v>3.5855270817870891E-3</v>
      </c>
      <c r="D17" s="101">
        <v>3.5855270817870891E-3</v>
      </c>
      <c r="E17" s="101">
        <v>3.5855270817870891E-3</v>
      </c>
      <c r="F17" s="101">
        <v>3.5855270817870891E-3</v>
      </c>
    </row>
    <row r="18" spans="1:8" ht="15.75" customHeight="1" x14ac:dyDescent="0.25">
      <c r="B18" s="19" t="s">
        <v>91</v>
      </c>
      <c r="C18" s="101">
        <v>6.4891337024858655E-4</v>
      </c>
      <c r="D18" s="101">
        <v>6.4891337024858655E-4</v>
      </c>
      <c r="E18" s="101">
        <v>6.4891337024858655E-4</v>
      </c>
      <c r="F18" s="101">
        <v>6.4891337024858655E-4</v>
      </c>
    </row>
    <row r="19" spans="1:8" ht="15.75" customHeight="1" x14ac:dyDescent="0.25">
      <c r="B19" s="19" t="s">
        <v>92</v>
      </c>
      <c r="C19" s="101">
        <v>1.412015459572279E-2</v>
      </c>
      <c r="D19" s="101">
        <v>1.412015459572279E-2</v>
      </c>
      <c r="E19" s="101">
        <v>1.412015459572279E-2</v>
      </c>
      <c r="F19" s="101">
        <v>1.412015459572279E-2</v>
      </c>
    </row>
    <row r="20" spans="1:8" ht="15.75" customHeight="1" x14ac:dyDescent="0.25">
      <c r="B20" s="19" t="s">
        <v>93</v>
      </c>
      <c r="C20" s="101">
        <v>2.3534614128754999E-2</v>
      </c>
      <c r="D20" s="101">
        <v>2.3534614128754999E-2</v>
      </c>
      <c r="E20" s="101">
        <v>2.3534614128754999E-2</v>
      </c>
      <c r="F20" s="101">
        <v>2.3534614128754999E-2</v>
      </c>
    </row>
    <row r="21" spans="1:8" ht="15.75" customHeight="1" x14ac:dyDescent="0.25">
      <c r="B21" s="19" t="s">
        <v>94</v>
      </c>
      <c r="C21" s="101">
        <v>0.14413388529728449</v>
      </c>
      <c r="D21" s="101">
        <v>0.14413388529728449</v>
      </c>
      <c r="E21" s="101">
        <v>0.14413388529728449</v>
      </c>
      <c r="F21" s="101">
        <v>0.14413388529728449</v>
      </c>
    </row>
    <row r="22" spans="1:8" ht="15.75" customHeight="1" x14ac:dyDescent="0.25">
      <c r="B22" s="19" t="s">
        <v>95</v>
      </c>
      <c r="C22" s="101">
        <v>0.58962320668959667</v>
      </c>
      <c r="D22" s="101">
        <v>0.58962320668959667</v>
      </c>
      <c r="E22" s="101">
        <v>0.58962320668959667</v>
      </c>
      <c r="F22" s="101">
        <v>0.58962320668959667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2.3699701E-2</v>
      </c>
    </row>
    <row r="27" spans="1:8" ht="15.75" customHeight="1" x14ac:dyDescent="0.25">
      <c r="B27" s="19" t="s">
        <v>102</v>
      </c>
      <c r="C27" s="101">
        <v>2.0615876000000002E-2</v>
      </c>
    </row>
    <row r="28" spans="1:8" ht="15.75" customHeight="1" x14ac:dyDescent="0.25">
      <c r="B28" s="19" t="s">
        <v>103</v>
      </c>
      <c r="C28" s="101">
        <v>0.32415355899999992</v>
      </c>
    </row>
    <row r="29" spans="1:8" ht="15.75" customHeight="1" x14ac:dyDescent="0.25">
      <c r="B29" s="19" t="s">
        <v>104</v>
      </c>
      <c r="C29" s="101">
        <v>0.13455262100000001</v>
      </c>
    </row>
    <row r="30" spans="1:8" ht="15.75" customHeight="1" x14ac:dyDescent="0.25">
      <c r="B30" s="19" t="s">
        <v>2</v>
      </c>
      <c r="C30" s="101">
        <v>2.7948395000000001E-2</v>
      </c>
    </row>
    <row r="31" spans="1:8" ht="15.75" customHeight="1" x14ac:dyDescent="0.25">
      <c r="B31" s="19" t="s">
        <v>105</v>
      </c>
      <c r="C31" s="101">
        <v>0.12247227099999999</v>
      </c>
    </row>
    <row r="32" spans="1:8" ht="15.75" customHeight="1" x14ac:dyDescent="0.25">
      <c r="B32" s="19" t="s">
        <v>106</v>
      </c>
      <c r="C32" s="101">
        <v>0.15633195699999999</v>
      </c>
    </row>
    <row r="33" spans="2:3" ht="15.75" customHeight="1" x14ac:dyDescent="0.25">
      <c r="B33" s="19" t="s">
        <v>107</v>
      </c>
      <c r="C33" s="101">
        <v>0.10750958400000001</v>
      </c>
    </row>
    <row r="34" spans="2:3" ht="15.75" customHeight="1" x14ac:dyDescent="0.25">
      <c r="B34" s="19" t="s">
        <v>108</v>
      </c>
      <c r="C34" s="101">
        <v>8.2716036000000007E-2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u6agS/5Br/6vDHNT6wp5450b22j2LzsD/Gapf/pa6yz0KMtcxTBKWDtFHSbdUlQ2C4yIr+YvQ1ymD2Ty4c1b1g==" saltValue="NMAckQmPyKhlr2ha5uL9i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0.58120926083514401</v>
      </c>
      <c r="D2" s="52">
        <f>IFERROR(1-_xlfn.NORM.DIST(_xlfn.NORM.INV(SUM(D4:D5), 0, 1) + 1, 0, 1, TRUE), "")</f>
        <v>0.58120926083514401</v>
      </c>
      <c r="E2" s="52">
        <f>IFERROR(1-_xlfn.NORM.DIST(_xlfn.NORM.INV(SUM(E4:E5), 0, 1) + 1, 0, 1, TRUE), "")</f>
        <v>0.6395152211399493</v>
      </c>
      <c r="F2" s="52">
        <f>IFERROR(1-_xlfn.NORM.DIST(_xlfn.NORM.INV(SUM(F4:F5), 0, 1) + 1, 0, 1, TRUE), "")</f>
        <v>0.57370837510913397</v>
      </c>
      <c r="G2" s="52">
        <f>IFERROR(1-_xlfn.NORM.DIST(_xlfn.NORM.INV(SUM(G4:G5), 0, 1) + 1, 0, 1, TRUE), "")</f>
        <v>0.60373407305460081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0.30468677742889216</v>
      </c>
      <c r="D3" s="52">
        <f>IFERROR(_xlfn.NORM.DIST(_xlfn.NORM.INV(SUM(D4:D5), 0, 1) + 1, 0, 1, TRUE) - SUM(D4:D5), "")</f>
        <v>0.30468677742889216</v>
      </c>
      <c r="E3" s="52">
        <f>IFERROR(_xlfn.NORM.DIST(_xlfn.NORM.INV(SUM(E4:E5), 0, 1) + 1, 0, 1, TRUE) - SUM(E4:E5), "")</f>
        <v>0.27312011455877455</v>
      </c>
      <c r="F3" s="52">
        <f>IFERROR(_xlfn.NORM.DIST(_xlfn.NORM.INV(SUM(F4:F5), 0, 1) + 1, 0, 1, TRUE) - SUM(F4:F5), "")</f>
        <v>0.30844560159951662</v>
      </c>
      <c r="G3" s="52">
        <f>IFERROR(_xlfn.NORM.DIST(_xlfn.NORM.INV(SUM(G4:G5), 0, 1) + 1, 0, 1, TRUE) - SUM(G4:G5), "")</f>
        <v>0.29297570249755273</v>
      </c>
    </row>
    <row r="4" spans="1:15" ht="15.75" customHeight="1" x14ac:dyDescent="0.25">
      <c r="B4" s="5" t="s">
        <v>114</v>
      </c>
      <c r="C4" s="45">
        <v>5.8150202035903903E-2</v>
      </c>
      <c r="D4" s="53">
        <v>5.8150202035903903E-2</v>
      </c>
      <c r="E4" s="53">
        <v>6.8319074809551197E-2</v>
      </c>
      <c r="F4" s="53">
        <v>9.4446957111358601E-2</v>
      </c>
      <c r="G4" s="53">
        <v>7.9866260290145902E-2</v>
      </c>
    </row>
    <row r="5" spans="1:15" ht="15.75" customHeight="1" x14ac:dyDescent="0.25">
      <c r="B5" s="5" t="s">
        <v>115</v>
      </c>
      <c r="C5" s="45">
        <v>5.5953759700059898E-2</v>
      </c>
      <c r="D5" s="53">
        <v>5.5953759700059898E-2</v>
      </c>
      <c r="E5" s="53">
        <v>1.9045589491724999E-2</v>
      </c>
      <c r="F5" s="53">
        <v>2.33990661799908E-2</v>
      </c>
      <c r="G5" s="53">
        <v>2.34239641577005E-2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0.56208736481148103</v>
      </c>
      <c r="D8" s="52">
        <f>IFERROR(1-_xlfn.NORM.DIST(_xlfn.NORM.INV(SUM(D10:D11), 0, 1) + 1, 0, 1, TRUE), "")</f>
        <v>0.56208736481148103</v>
      </c>
      <c r="E8" s="52">
        <f>IFERROR(1-_xlfn.NORM.DIST(_xlfn.NORM.INV(SUM(E10:E11), 0, 1) + 1, 0, 1, TRUE), "")</f>
        <v>0.77872511166758396</v>
      </c>
      <c r="F8" s="52">
        <f>IFERROR(1-_xlfn.NORM.DIST(_xlfn.NORM.INV(SUM(F10:F11), 0, 1) + 1, 0, 1, TRUE), "")</f>
        <v>0.74975726794477349</v>
      </c>
      <c r="G8" s="52">
        <f>IFERROR(1-_xlfn.NORM.DIST(_xlfn.NORM.INV(SUM(G10:G11), 0, 1) + 1, 0, 1, TRUE), "")</f>
        <v>0.74431423278636255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0.31412595292550233</v>
      </c>
      <c r="D9" s="52">
        <f>IFERROR(_xlfn.NORM.DIST(_xlfn.NORM.INV(SUM(D10:D11), 0, 1) + 1, 0, 1, TRUE) - SUM(D10:D11), "")</f>
        <v>0.31412595292550233</v>
      </c>
      <c r="E9" s="52">
        <f>IFERROR(_xlfn.NORM.DIST(_xlfn.NORM.INV(SUM(E10:E11), 0, 1) + 1, 0, 1, TRUE) - SUM(E10:E11), "")</f>
        <v>0.1827356295692219</v>
      </c>
      <c r="F9" s="52">
        <f>IFERROR(_xlfn.NORM.DIST(_xlfn.NORM.INV(SUM(F10:F11), 0, 1) + 1, 0, 1, TRUE) - SUM(F10:F11), "")</f>
        <v>0.20315051130924577</v>
      </c>
      <c r="G9" s="52">
        <f>IFERROR(_xlfn.NORM.DIST(_xlfn.NORM.INV(SUM(G10:G11), 0, 1) + 1, 0, 1, TRUE) - SUM(G10:G11), "")</f>
        <v>0.20689605740719513</v>
      </c>
    </row>
    <row r="10" spans="1:15" ht="15.75" customHeight="1" x14ac:dyDescent="0.25">
      <c r="B10" s="5" t="s">
        <v>119</v>
      </c>
      <c r="C10" s="45">
        <v>9.8971642553806305E-2</v>
      </c>
      <c r="D10" s="53">
        <v>9.8971642553806305E-2</v>
      </c>
      <c r="E10" s="53">
        <v>2.5978283956646898E-2</v>
      </c>
      <c r="F10" s="53">
        <v>3.1655482947826399E-2</v>
      </c>
      <c r="G10" s="53">
        <v>3.62183935940266E-2</v>
      </c>
    </row>
    <row r="11" spans="1:15" ht="15.75" customHeight="1" x14ac:dyDescent="0.25">
      <c r="B11" s="5" t="s">
        <v>120</v>
      </c>
      <c r="C11" s="45">
        <v>2.4815039709210399E-2</v>
      </c>
      <c r="D11" s="53">
        <v>2.4815039709210399E-2</v>
      </c>
      <c r="E11" s="53">
        <v>1.25609748065472E-2</v>
      </c>
      <c r="F11" s="53">
        <v>1.5436737798154399E-2</v>
      </c>
      <c r="G11" s="53">
        <v>1.25713162124157E-2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4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4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StoQxnwC5FHYQg2RTOSfT5/95a3DV6NFT/9Oqc9QxNTjx2nL1typWprYihT+hQtxEivhZdvC8ZQuEHt8HfL1A==" saltValue="l/5c8AH58cjcmj1UwvDq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0.23053781509999999</v>
      </c>
      <c r="D2" s="53">
        <v>0.14422682000000001</v>
      </c>
      <c r="E2" s="53"/>
      <c r="F2" s="53"/>
      <c r="G2" s="53"/>
    </row>
    <row r="3" spans="1:7" x14ac:dyDescent="0.25">
      <c r="B3" s="3" t="s">
        <v>130</v>
      </c>
      <c r="C3" s="53">
        <v>0.33883633000000002</v>
      </c>
      <c r="D3" s="53">
        <v>0.25754768</v>
      </c>
      <c r="E3" s="53"/>
      <c r="F3" s="53"/>
      <c r="G3" s="53"/>
    </row>
    <row r="4" spans="1:7" x14ac:dyDescent="0.25">
      <c r="B4" s="3" t="s">
        <v>131</v>
      </c>
      <c r="C4" s="53">
        <v>0.29171679</v>
      </c>
      <c r="D4" s="53">
        <v>0.27459610000000001</v>
      </c>
      <c r="E4" s="53">
        <v>0.48001733422279402</v>
      </c>
      <c r="F4" s="53">
        <v>0.244750931859016</v>
      </c>
      <c r="G4" s="53"/>
    </row>
    <row r="5" spans="1:7" x14ac:dyDescent="0.25">
      <c r="B5" s="3" t="s">
        <v>132</v>
      </c>
      <c r="C5" s="52">
        <v>0.13890905379999999</v>
      </c>
      <c r="D5" s="52">
        <v>0.32362941999999989</v>
      </c>
      <c r="E5" s="52">
        <f>1-SUM(E2:E4)</f>
        <v>0.51998266577720598</v>
      </c>
      <c r="F5" s="52">
        <f>1-SUM(F2:F4)</f>
        <v>0.75524906814098403</v>
      </c>
      <c r="G5" s="52">
        <f>1-SUM(G2:G4)</f>
        <v>1</v>
      </c>
    </row>
  </sheetData>
  <sheetProtection algorithmName="SHA-512" hashValue="pX+ZAMSgLSf7H8OA1A5kbjV8BdKm2dJ9x059KPKPsSOSC82rv/ag8FNv6aZMZkNaQ4i0CDm0FvilxparrQCS/A==" saltValue="PN+DN437DUiwOEzl84R/2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GUWVWN5/TNavizXfcj7BT4rz1IlocLgshacyCOvO0oLyQJDHYTcZ8mfOWFqjPjPCQJiYBVMEOHTRqFL3MtrBA==" saltValue="AMgsPuimLR+vu5Gg4Ksxo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Zc16ocJotAcCxRCR2LPNZHplBjHdj7qtn4RyasHVIV5s+TrjTX4QaTsERsjZG2bNj7tfgSaJGpH9dq851sYzYQ==" saltValue="FZkvgdFg+ws7QqmYCfmS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tAPVVwSbpGOuHMCg4WR8Qwn8r3GNnJ5fdHQTBBIJCc5KzkIP4TuvtOGVK8dCrPKz5kYmgBAeYJgMnV6TkY82CQ==" saltValue="mH7UI8/yasn4X606EEGV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494FE9xplEccS/KNCF3MOmZCmpQcYnmY5RrPmyfu0PdgYxptG66aPxi1ekTX+5L41+emdTNuWkLxHitPO2vhA==" saltValue="4JTUadChCUO3DEAizjE2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2024-03-18T02:00:12Z</dcterms:modified>
</cp:coreProperties>
</file>