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DA8754B1-C2AF-4BBC-B0DA-688772E42CA7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A35" i="2"/>
  <c r="A27" i="2"/>
  <c r="H11" i="2"/>
  <c r="I11" i="2" s="1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9" i="2" s="1"/>
  <c r="C33" i="1"/>
  <c r="C20" i="1"/>
  <c r="I8" i="2" l="1"/>
  <c r="I39" i="2"/>
  <c r="A19" i="2"/>
  <c r="A13" i="2"/>
  <c r="A21" i="2"/>
  <c r="A29" i="2"/>
  <c r="A14" i="2"/>
  <c r="A30" i="2"/>
  <c r="A40" i="2"/>
  <c r="A15" i="2"/>
  <c r="A23" i="2"/>
  <c r="A31" i="2"/>
  <c r="A37" i="2"/>
  <c r="A22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2" i="2"/>
  <c r="A20" i="2"/>
  <c r="A28" i="2"/>
  <c r="A36" i="2"/>
  <c r="A17" i="2"/>
  <c r="A33" i="2"/>
  <c r="A38" i="2"/>
  <c r="A25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<sst xmlns="http://schemas.openxmlformats.org/spreadsheetml/2006/main" count="2092" uniqueCount="337">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</sst>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4724104.40625</v>
      </c>
    </row>
    <row r="8" spans="1:3" ht="15" customHeight="1" x14ac:dyDescent="0.25">
      <c r="B8" s="5" t="s">
        <v>19</v>
      </c>
      <c r="C8" s="44">
        <v>0.188</v>
      </c>
    </row>
    <row r="9" spans="1:3" ht="15" customHeight="1" x14ac:dyDescent="0.25">
      <c r="B9" s="5" t="s">
        <v>20</v>
      </c>
      <c r="C9" s="45">
        <v>0.47</v>
      </c>
    </row>
    <row r="10" spans="1:3" ht="15" customHeight="1" x14ac:dyDescent="0.25">
      <c r="B10" s="5" t="s">
        <v>21</v>
      </c>
      <c r="C10" s="45">
        <v>0.39787429809570302</v>
      </c>
    </row>
    <row r="11" spans="1:3" ht="15" customHeight="1" x14ac:dyDescent="0.25">
      <c r="B11" s="5" t="s">
        <v>22</v>
      </c>
      <c r="C11" s="45">
        <v>0.251</v>
      </c>
    </row>
    <row r="12" spans="1:3" ht="15" customHeight="1" x14ac:dyDescent="0.25">
      <c r="B12" s="5" t="s">
        <v>23</v>
      </c>
      <c r="C12" s="45">
        <v>0.34</v>
      </c>
    </row>
    <row r="13" spans="1:3" ht="15" customHeight="1" x14ac:dyDescent="0.25">
      <c r="B13" s="5" t="s">
        <v>24</v>
      </c>
      <c r="C13" s="45">
        <v>0.53100000000000003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8.5299999999999987E-2</v>
      </c>
    </row>
    <row r="24" spans="1:3" ht="15" customHeight="1" x14ac:dyDescent="0.25">
      <c r="B24" s="15" t="s">
        <v>33</v>
      </c>
      <c r="C24" s="45">
        <v>0.48899999999999999</v>
      </c>
    </row>
    <row r="25" spans="1:3" ht="15" customHeight="1" x14ac:dyDescent="0.25">
      <c r="B25" s="15" t="s">
        <v>34</v>
      </c>
      <c r="C25" s="45">
        <v>0.35580000000000001</v>
      </c>
    </row>
    <row r="26" spans="1:3" ht="15" customHeight="1" x14ac:dyDescent="0.25">
      <c r="B26" s="15" t="s">
        <v>35</v>
      </c>
      <c r="C26" s="45">
        <v>0.1099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0.20667212370865701</v>
      </c>
    </row>
    <row r="30" spans="1:3" ht="14.25" customHeight="1" x14ac:dyDescent="0.25">
      <c r="B30" s="25" t="s">
        <v>38</v>
      </c>
      <c r="C30" s="99">
        <v>0.11137509658186601</v>
      </c>
    </row>
    <row r="31" spans="1:3" ht="14.25" customHeight="1" x14ac:dyDescent="0.25">
      <c r="B31" s="25" t="s">
        <v>39</v>
      </c>
      <c r="C31" s="99">
        <v>0.12654954789311601</v>
      </c>
    </row>
    <row r="32" spans="1:3" ht="14.25" customHeight="1" x14ac:dyDescent="0.25">
      <c r="B32" s="25" t="s">
        <v>40</v>
      </c>
      <c r="C32" s="99">
        <v>0.55540323181636098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26.654184062716901</v>
      </c>
    </row>
    <row r="38" spans="1:5" ht="15" customHeight="1" x14ac:dyDescent="0.25">
      <c r="B38" s="11" t="s">
        <v>45</v>
      </c>
      <c r="C38" s="43">
        <v>43.623031486157103</v>
      </c>
      <c r="D38" s="12"/>
      <c r="E38" s="13"/>
    </row>
    <row r="39" spans="1:5" ht="15" customHeight="1" x14ac:dyDescent="0.25">
      <c r="B39" s="11" t="s">
        <v>46</v>
      </c>
      <c r="C39" s="43">
        <v>58.356138238951203</v>
      </c>
      <c r="D39" s="12"/>
      <c r="E39" s="12"/>
    </row>
    <row r="40" spans="1:5" ht="15" customHeight="1" x14ac:dyDescent="0.25">
      <c r="B40" s="11" t="s">
        <v>47</v>
      </c>
      <c r="C40" s="100">
        <v>1.64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23.729724780000002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9.4216999999999999E-3</v>
      </c>
      <c r="D45" s="12"/>
    </row>
    <row r="46" spans="1:5" ht="15.75" customHeight="1" x14ac:dyDescent="0.25">
      <c r="B46" s="11" t="s">
        <v>52</v>
      </c>
      <c r="C46" s="45">
        <v>7.88248E-2</v>
      </c>
      <c r="D46" s="12"/>
    </row>
    <row r="47" spans="1:5" ht="15.75" customHeight="1" x14ac:dyDescent="0.25">
      <c r="B47" s="11" t="s">
        <v>53</v>
      </c>
      <c r="C47" s="45">
        <v>7.7897999999999995E-2</v>
      </c>
      <c r="D47" s="12"/>
      <c r="E47" s="13"/>
    </row>
    <row r="48" spans="1:5" ht="15" customHeight="1" x14ac:dyDescent="0.25">
      <c r="B48" s="11" t="s">
        <v>54</v>
      </c>
      <c r="C48" s="46">
        <v>0.83385549999999997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2.9</v>
      </c>
      <c r="D51" s="12"/>
    </row>
    <row r="52" spans="1:4" ht="15" customHeight="1" x14ac:dyDescent="0.25">
      <c r="B52" s="11" t="s">
        <v>57</v>
      </c>
      <c r="C52" s="100">
        <v>2.9</v>
      </c>
    </row>
    <row r="53" spans="1:4" ht="15.75" customHeight="1" x14ac:dyDescent="0.25">
      <c r="B53" s="11" t="s">
        <v>58</v>
      </c>
      <c r="C53" s="100">
        <v>2.9</v>
      </c>
    </row>
    <row r="54" spans="1:4" ht="15.75" customHeight="1" x14ac:dyDescent="0.25">
      <c r="B54" s="11" t="s">
        <v>59</v>
      </c>
      <c r="C54" s="100">
        <v>2.9</v>
      </c>
    </row>
    <row r="55" spans="1:4" ht="15.75" customHeight="1" x14ac:dyDescent="0.25">
      <c r="B55" s="11" t="s">
        <v>60</v>
      </c>
      <c r="C55" s="100">
        <v>2.9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2.0689655172413789E-2</v>
      </c>
    </row>
    <row r="59" spans="1:4" ht="15.75" customHeight="1" x14ac:dyDescent="0.25">
      <c r="B59" s="11" t="s">
        <v>63</v>
      </c>
      <c r="C59" s="45">
        <v>0.53084200000000004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a39YEfDrGVfXBVUI0d9+sHSerDg9g4LKHGn6gtm/l6XD/Q73GO7hPSUt89z/sz0SRusKAbgAi8+h2kxnAZrRFw==" saltValue="h2bGlDy8jndbA7xVzzDG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4.6063613030314393E-2</v>
      </c>
      <c r="C2" s="98">
        <v>0.95</v>
      </c>
      <c r="D2" s="56">
        <v>37.913661484151682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42.521345352857793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99.033477395463237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0.3705821075861872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13.539057252878379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13.539057252878379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13.539057252878379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13.539057252878379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13.539057252878379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13.539057252878379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0.14742299241694801</v>
      </c>
      <c r="C16" s="98">
        <v>0.95</v>
      </c>
      <c r="D16" s="56">
        <v>0.27829999072845568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0.7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2.377996240315416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2.377996240315416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0.18614801410000001</v>
      </c>
      <c r="C21" s="98">
        <v>0.95</v>
      </c>
      <c r="D21" s="56">
        <v>3.202185552868094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23.103382705538191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4.2999999999999997E-2</v>
      </c>
      <c r="C23" s="98">
        <v>0.95</v>
      </c>
      <c r="D23" s="56">
        <v>4.4606327668435339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0.22546040146593599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5.90735710084438E-2</v>
      </c>
      <c r="C27" s="98">
        <v>0.95</v>
      </c>
      <c r="D27" s="56">
        <v>19.540666812356982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0.25274740000000001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67.736851795235324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4.3271061521497272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8.6708339999999995E-2</v>
      </c>
      <c r="C32" s="98">
        <v>0.95</v>
      </c>
      <c r="D32" s="56">
        <v>0.54641342226979839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0.59053003115999092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0.13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3.9110765792429499E-3</v>
      </c>
      <c r="C38" s="98">
        <v>0.95</v>
      </c>
      <c r="D38" s="56">
        <v>8.7522201431810966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0.21297360000000001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cQgD+FzuPugK4DJZ6ZzJcNXDRO3Y00Dgx7MIe2SpIU/1DlfYppMus1aNmmCUoB7jC+ziPV7vrlJwYh/pDkVJjA==" saltValue="DhkoERiJroJ7pfZho9uz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Q1fzBGFUhqwGvXKn1HxOaEUxLpHfXDKKwNx419H7Z+i3wLf0/XWoZHJM33NAFw2HjRTYo84KdaHaXY2UoGCEEA==" saltValue="vYutAdbZsA36/G5esBKX8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QyBQ2oM7PITsDHyAZS/yVE656qoF/QqZyYNvISYEEftshm5VhZpQRIyroTnrypdxtPWjcQuMCo+Ac6cq+6FY4g==" saltValue="dHtX4c5cunhRTNg7PwmXF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2.9</v>
      </c>
      <c r="C2" s="21">
        <f>'Données pop de l''année de ref'!C52</f>
        <v>2.9</v>
      </c>
      <c r="D2" s="21">
        <f>'Données pop de l''année de ref'!C53</f>
        <v>2.9</v>
      </c>
      <c r="E2" s="21">
        <f>'Données pop de l''année de ref'!C54</f>
        <v>2.9</v>
      </c>
      <c r="F2" s="21">
        <f>'Données pop de l''année de ref'!C55</f>
        <v>2.9</v>
      </c>
    </row>
    <row r="3" spans="1:6" ht="15.75" customHeight="1" x14ac:dyDescent="0.25">
      <c r="A3" s="3" t="s">
        <v>209</v>
      </c>
      <c r="B3" s="21">
        <f>frac_mam_1month * 2.6</f>
        <v>0.28287672996521118</v>
      </c>
      <c r="C3" s="21">
        <f>frac_mam_1_5months * 2.6</f>
        <v>0.28287672996521118</v>
      </c>
      <c r="D3" s="21">
        <f>frac_mam_6_11months * 2.6</f>
        <v>0.389580428600311</v>
      </c>
      <c r="E3" s="21">
        <f>frac_mam_12_23months * 2.6</f>
        <v>0.35258413851261117</v>
      </c>
      <c r="F3" s="21">
        <f>frac_mam_24_59months * 2.6</f>
        <v>0.24604986310005192</v>
      </c>
    </row>
    <row r="4" spans="1:6" ht="15.75" customHeight="1" x14ac:dyDescent="0.25">
      <c r="A4" s="3" t="s">
        <v>208</v>
      </c>
      <c r="B4" s="21">
        <f>frac_sam_1month * 2.6</f>
        <v>0.23901847004890453</v>
      </c>
      <c r="C4" s="21">
        <f>frac_sam_1_5months * 2.6</f>
        <v>0.23901847004890453</v>
      </c>
      <c r="D4" s="21">
        <f>frac_sam_6_11months * 2.6</f>
        <v>0.26479003578424543</v>
      </c>
      <c r="E4" s="21">
        <f>frac_sam_12_23months * 2.6</f>
        <v>0.16372712701559056</v>
      </c>
      <c r="F4" s="21">
        <f>frac_sam_24_59months * 2.6</f>
        <v>9.3341473489999813E-2</v>
      </c>
    </row>
  </sheetData>
  <sheetProtection algorithmName="SHA-512" hashValue="dfrOxmYvx8r0AbGO17lsaCv5n2oYWHlrcL4XjsXvkmVmXo9tguuOnqE0OV74/PCYFUN29+WpdVP7uAxqsTqRDA==" saltValue="7c33Fo+whbKvMBEAVm+D/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0.188</v>
      </c>
      <c r="E2" s="60">
        <f>food_insecure</f>
        <v>0.188</v>
      </c>
      <c r="F2" s="60">
        <f>food_insecure</f>
        <v>0.188</v>
      </c>
      <c r="G2" s="60">
        <f>food_insecure</f>
        <v>0.188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0.188</v>
      </c>
      <c r="F5" s="60">
        <f>food_insecure</f>
        <v>0.188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0.188</v>
      </c>
      <c r="F8" s="60">
        <f>food_insecure</f>
        <v>0.188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0.188</v>
      </c>
      <c r="F9" s="60">
        <f>food_insecure</f>
        <v>0.188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0.34</v>
      </c>
      <c r="E10" s="60">
        <f>IF(ISBLANK(comm_deliv), frac_children_health_facility,1)</f>
        <v>0.34</v>
      </c>
      <c r="F10" s="60">
        <f>IF(ISBLANK(comm_deliv), frac_children_health_facility,1)</f>
        <v>0.34</v>
      </c>
      <c r="G10" s="60">
        <f>IF(ISBLANK(comm_deliv), frac_children_health_facility,1)</f>
        <v>0.34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0.188</v>
      </c>
      <c r="I15" s="60">
        <f>food_insecure</f>
        <v>0.188</v>
      </c>
      <c r="J15" s="60">
        <f>food_insecure</f>
        <v>0.188</v>
      </c>
      <c r="K15" s="60">
        <f>food_insecure</f>
        <v>0.188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0.251</v>
      </c>
      <c r="I18" s="60">
        <f>frac_PW_health_facility</f>
        <v>0.251</v>
      </c>
      <c r="J18" s="60">
        <f>frac_PW_health_facility</f>
        <v>0.251</v>
      </c>
      <c r="K18" s="60">
        <f>frac_PW_health_facility</f>
        <v>0.251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0.47</v>
      </c>
      <c r="I19" s="60">
        <f>frac_malaria_risk</f>
        <v>0.47</v>
      </c>
      <c r="J19" s="60">
        <f>frac_malaria_risk</f>
        <v>0.47</v>
      </c>
      <c r="K19" s="60">
        <f>frac_malaria_risk</f>
        <v>0.47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0.53100000000000003</v>
      </c>
      <c r="M24" s="60">
        <f>famplan_unmet_need</f>
        <v>0.53100000000000003</v>
      </c>
      <c r="N24" s="60">
        <f>famplan_unmet_need</f>
        <v>0.53100000000000003</v>
      </c>
      <c r="O24" s="60">
        <f>famplan_unmet_need</f>
        <v>0.53100000000000003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0.31881351664428714</v>
      </c>
      <c r="M25" s="60">
        <f>(1-food_insecure)*(0.49)+food_insecure*(0.7)</f>
        <v>0.52947999999999995</v>
      </c>
      <c r="N25" s="60">
        <f>(1-food_insecure)*(0.49)+food_insecure*(0.7)</f>
        <v>0.52947999999999995</v>
      </c>
      <c r="O25" s="60">
        <f>(1-food_insecure)*(0.49)+food_insecure*(0.7)</f>
        <v>0.52947999999999995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0.13663436427612308</v>
      </c>
      <c r="M26" s="60">
        <f>(1-food_insecure)*(0.21)+food_insecure*(0.3)</f>
        <v>0.22692000000000001</v>
      </c>
      <c r="N26" s="60">
        <f>(1-food_insecure)*(0.21)+food_insecure*(0.3)</f>
        <v>0.22692000000000001</v>
      </c>
      <c r="O26" s="60">
        <f>(1-food_insecure)*(0.21)+food_insecure*(0.3)</f>
        <v>0.22692000000000001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0.14667782098388674</v>
      </c>
      <c r="M27" s="60">
        <f>(1-food_insecure)*(0.3)</f>
        <v>0.24360000000000001</v>
      </c>
      <c r="N27" s="60">
        <f>(1-food_insecure)*(0.3)</f>
        <v>0.24360000000000001</v>
      </c>
      <c r="O27" s="60">
        <f>(1-food_insecure)*(0.3)</f>
        <v>0.24360000000000001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0.39787429809570307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0.47</v>
      </c>
      <c r="D34" s="60">
        <f t="shared" si="3"/>
        <v>0.47</v>
      </c>
      <c r="E34" s="60">
        <f t="shared" si="3"/>
        <v>0.47</v>
      </c>
      <c r="F34" s="60">
        <f t="shared" si="3"/>
        <v>0.47</v>
      </c>
      <c r="G34" s="60">
        <f t="shared" si="3"/>
        <v>0.47</v>
      </c>
      <c r="H34" s="60">
        <f t="shared" si="3"/>
        <v>0.47</v>
      </c>
      <c r="I34" s="60">
        <f t="shared" si="3"/>
        <v>0.47</v>
      </c>
      <c r="J34" s="60">
        <f t="shared" si="3"/>
        <v>0.47</v>
      </c>
      <c r="K34" s="60">
        <f t="shared" si="3"/>
        <v>0.47</v>
      </c>
      <c r="L34" s="60">
        <f t="shared" si="3"/>
        <v>0.47</v>
      </c>
      <c r="M34" s="60">
        <f t="shared" si="3"/>
        <v>0.47</v>
      </c>
      <c r="N34" s="60">
        <f t="shared" si="3"/>
        <v>0.47</v>
      </c>
      <c r="O34" s="60">
        <f t="shared" si="3"/>
        <v>0.47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Fv1m/ABJmqv2yB0B5JfUfWuue/haPTuvmGQ4g41AV3GBy25HSB4/6aP6Xtw5WciUEreiwnvz8bd8JhKWni8wPA==" saltValue="RYlstf+6RS852QcMP/g3z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NvS4HmPCH0IWuXMUhxmTLfolPqUUPsdHSlJ/ZyAkoyg+PozcfEz9jEvc4aDPaGSnLk7qYmWVrxpIBRj3UTlU4g==" saltValue="4PBtkz1tjk3EH5lsr1nav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86J36Agf7N5cb6Z/bDrrDGyF3HSx9ABPr+ayHBxc+wgSYhlGL0R6Fdf0kCgvQVREiZhY2fN+1oEBfxL0N8jhdg==" saltValue="kpzaZA5e3GI/iLuW/sSIp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vV63GsQ8y/kB5Bl8+aj2C0FYE46KwhLk5YfKzco2/UoXxUs+AWHzO5v5Umi49Ng/W8rk76+90jMqMEkRLxgRxg==" saltValue="mjVuOQO0CgZRIHE46hkxM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ak9L6YONvo4AC8DQy7n54dxGv8o3Kges4nrFYSgmJgvGxTjQcBJvWTBS6awRN1MHfV6yWNCWuy+KbrrLfxCblg==" saltValue="j3V7hA/s+YvjR8obuNrM8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w7nK+kj/fhORmv3IQ6U7ubbwvkTTm1QEy39pMWuVZRoypJyISFlnWgh35mha4VakR+3iDjmaKPIYTmWXdMTzfQ==" saltValue="flfVe/mjAr/rGPU0KmG3t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885346.67979999993</v>
      </c>
      <c r="C2" s="49">
        <v>1616000</v>
      </c>
      <c r="D2" s="49">
        <v>2887000</v>
      </c>
      <c r="E2" s="49">
        <v>2187000</v>
      </c>
      <c r="F2" s="49">
        <v>1246000</v>
      </c>
      <c r="G2" s="17">
        <f t="shared" ref="G2:G11" si="0">C2+D2+E2+F2</f>
        <v>7936000</v>
      </c>
      <c r="H2" s="17">
        <f t="shared" ref="H2:H11" si="1">(B2 + stillbirth*B2/(1000-stillbirth))/(1-abortion)</f>
        <v>1030529.9649457046</v>
      </c>
      <c r="I2" s="17">
        <f t="shared" ref="I2:I11" si="2">G2-H2</f>
        <v>6905470.0350542953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886641.44960000005</v>
      </c>
      <c r="C3" s="50">
        <v>1645000</v>
      </c>
      <c r="D3" s="50">
        <v>2912000</v>
      </c>
      <c r="E3" s="50">
        <v>2280000</v>
      </c>
      <c r="F3" s="50">
        <v>1326000</v>
      </c>
      <c r="G3" s="17">
        <f t="shared" si="0"/>
        <v>8163000</v>
      </c>
      <c r="H3" s="17">
        <f t="shared" si="1"/>
        <v>1032037.0571470422</v>
      </c>
      <c r="I3" s="17">
        <f t="shared" si="2"/>
        <v>7130962.9428529581</v>
      </c>
    </row>
    <row r="4" spans="1:9" ht="15.75" customHeight="1" x14ac:dyDescent="0.25">
      <c r="A4" s="5">
        <f t="shared" si="3"/>
        <v>2023</v>
      </c>
      <c r="B4" s="49">
        <v>887133.4585999999</v>
      </c>
      <c r="C4" s="50">
        <v>1676000</v>
      </c>
      <c r="D4" s="50">
        <v>2936000</v>
      </c>
      <c r="E4" s="50">
        <v>2370000</v>
      </c>
      <c r="F4" s="50">
        <v>1409000</v>
      </c>
      <c r="G4" s="17">
        <f t="shared" si="0"/>
        <v>8391000</v>
      </c>
      <c r="H4" s="17">
        <f t="shared" si="1"/>
        <v>1032609.7480816685</v>
      </c>
      <c r="I4" s="17">
        <f t="shared" si="2"/>
        <v>7358390.2519183317</v>
      </c>
    </row>
    <row r="5" spans="1:9" ht="15.75" customHeight="1" x14ac:dyDescent="0.25">
      <c r="A5" s="5">
        <f t="shared" si="3"/>
        <v>2024</v>
      </c>
      <c r="B5" s="49">
        <v>886853.03519999993</v>
      </c>
      <c r="C5" s="50">
        <v>1709000</v>
      </c>
      <c r="D5" s="50">
        <v>2962000</v>
      </c>
      <c r="E5" s="50">
        <v>2453000</v>
      </c>
      <c r="F5" s="50">
        <v>1496000</v>
      </c>
      <c r="G5" s="17">
        <f t="shared" si="0"/>
        <v>8620000</v>
      </c>
      <c r="H5" s="17">
        <f t="shared" si="1"/>
        <v>1032283.3395423184</v>
      </c>
      <c r="I5" s="17">
        <f t="shared" si="2"/>
        <v>7587716.6604576819</v>
      </c>
    </row>
    <row r="6" spans="1:9" ht="15.75" customHeight="1" x14ac:dyDescent="0.25">
      <c r="A6" s="5">
        <f t="shared" si="3"/>
        <v>2025</v>
      </c>
      <c r="B6" s="49">
        <v>885775.473</v>
      </c>
      <c r="C6" s="50">
        <v>1744000</v>
      </c>
      <c r="D6" s="50">
        <v>2997000</v>
      </c>
      <c r="E6" s="50">
        <v>2526000</v>
      </c>
      <c r="F6" s="50">
        <v>1583000</v>
      </c>
      <c r="G6" s="17">
        <f t="shared" si="0"/>
        <v>8850000</v>
      </c>
      <c r="H6" s="17">
        <f t="shared" si="1"/>
        <v>1031029.0736580847</v>
      </c>
      <c r="I6" s="17">
        <f t="shared" si="2"/>
        <v>7818970.9263419155</v>
      </c>
    </row>
    <row r="7" spans="1:9" ht="15.75" customHeight="1" x14ac:dyDescent="0.25">
      <c r="A7" s="5">
        <f t="shared" si="3"/>
        <v>2026</v>
      </c>
      <c r="B7" s="49">
        <v>886691.03399999999</v>
      </c>
      <c r="C7" s="50">
        <v>1779000</v>
      </c>
      <c r="D7" s="50">
        <v>3039000</v>
      </c>
      <c r="E7" s="50">
        <v>2589000</v>
      </c>
      <c r="F7" s="50">
        <v>1668000</v>
      </c>
      <c r="G7" s="17">
        <f t="shared" si="0"/>
        <v>9075000</v>
      </c>
      <c r="H7" s="17">
        <f t="shared" si="1"/>
        <v>1032094.7726286267</v>
      </c>
      <c r="I7" s="17">
        <f t="shared" si="2"/>
        <v>8042905.2273713732</v>
      </c>
    </row>
    <row r="8" spans="1:9" ht="15.75" customHeight="1" x14ac:dyDescent="0.25">
      <c r="A8" s="5">
        <f t="shared" si="3"/>
        <v>2027</v>
      </c>
      <c r="B8" s="49">
        <v>886925.00899999996</v>
      </c>
      <c r="C8" s="50">
        <v>1815000</v>
      </c>
      <c r="D8" s="50">
        <v>3088000</v>
      </c>
      <c r="E8" s="50">
        <v>2644000</v>
      </c>
      <c r="F8" s="50">
        <v>1754000</v>
      </c>
      <c r="G8" s="17">
        <f t="shared" si="0"/>
        <v>9301000</v>
      </c>
      <c r="H8" s="17">
        <f t="shared" si="1"/>
        <v>1032367.1159423246</v>
      </c>
      <c r="I8" s="17">
        <f t="shared" si="2"/>
        <v>8268632.8840576755</v>
      </c>
    </row>
    <row r="9" spans="1:9" ht="15.75" customHeight="1" x14ac:dyDescent="0.25">
      <c r="A9" s="5">
        <f t="shared" si="3"/>
        <v>2028</v>
      </c>
      <c r="B9" s="49">
        <v>886430.37199999997</v>
      </c>
      <c r="C9" s="50">
        <v>1850000</v>
      </c>
      <c r="D9" s="50">
        <v>3143000</v>
      </c>
      <c r="E9" s="50">
        <v>2691000</v>
      </c>
      <c r="F9" s="50">
        <v>1838000</v>
      </c>
      <c r="G9" s="17">
        <f t="shared" si="0"/>
        <v>9522000</v>
      </c>
      <c r="H9" s="17">
        <f t="shared" si="1"/>
        <v>1031791.3660559795</v>
      </c>
      <c r="I9" s="17">
        <f t="shared" si="2"/>
        <v>8490208.6339440197</v>
      </c>
    </row>
    <row r="10" spans="1:9" ht="15.75" customHeight="1" x14ac:dyDescent="0.25">
      <c r="A10" s="5">
        <f t="shared" si="3"/>
        <v>2029</v>
      </c>
      <c r="B10" s="49">
        <v>885237.35600000003</v>
      </c>
      <c r="C10" s="50">
        <v>1883000</v>
      </c>
      <c r="D10" s="50">
        <v>3203000</v>
      </c>
      <c r="E10" s="50">
        <v>2731000</v>
      </c>
      <c r="F10" s="50">
        <v>1926000</v>
      </c>
      <c r="G10" s="17">
        <f t="shared" si="0"/>
        <v>9743000</v>
      </c>
      <c r="H10" s="17">
        <f t="shared" si="1"/>
        <v>1030402.7137181887</v>
      </c>
      <c r="I10" s="17">
        <f t="shared" si="2"/>
        <v>8712597.2862818111</v>
      </c>
    </row>
    <row r="11" spans="1:9" ht="15.75" customHeight="1" x14ac:dyDescent="0.25">
      <c r="A11" s="5">
        <f t="shared" si="3"/>
        <v>2030</v>
      </c>
      <c r="B11" s="49">
        <v>883302.29500000004</v>
      </c>
      <c r="C11" s="50">
        <v>1911000</v>
      </c>
      <c r="D11" s="50">
        <v>3264000</v>
      </c>
      <c r="E11" s="50">
        <v>2767000</v>
      </c>
      <c r="F11" s="50">
        <v>2014000</v>
      </c>
      <c r="G11" s="17">
        <f t="shared" si="0"/>
        <v>9956000</v>
      </c>
      <c r="H11" s="17">
        <f t="shared" si="1"/>
        <v>1028150.332374252</v>
      </c>
      <c r="I11" s="17">
        <f t="shared" si="2"/>
        <v>8927849.6676257476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IO+7RVOETaGHx5NsMl7aQ/Njf/IOD1g6ddf3s+rKFLxeQyegbvqqaGYBKwwynjMRctMDcUBshxE66MCwJ2cHw==" saltValue="iwlZmUkGOQrPvJfMlhWaX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1.832568865226442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1.832568865226442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1.6475972485617112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1.6475972485617112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1.5193050970868165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1.5193050970868165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1.4198774171693516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1.4198774171693516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2.2250490732802777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2.2250490732802777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1.9095996854595783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1.9095996854595783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mFxMZA+e9ANCinVvKE1Yqh0+/H+54ZAKviYGYGPBXwgUj1GY8i8yurPRBua8NZ5vPeg5osIBdN4mXD+DZ6S31Q==" saltValue="LBV6XW0S+ZmlzeFwjRo5o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Wg8YNtFJItE/YsQ8BRKPUMX5G1CgpvrGEZYaeSvoZWjkm3Vd0O276HKDearcmn1BEluT3cnmER22gdCj6qISrQ==" saltValue="RtEaDBUq0RcvoCTKjh/Ha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GDdoURBXo7ZKIfFje7260zNEKFfpieQyotEoLu8jyt+9wq/JGk+K+kuZCDcIU19Er36n+uc3PWJ53Nzh3BkZHw==" saltValue="JFefokvWOemQiWnNoBer9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0.56497576727288834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0.50589141789473568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0.84269879513011559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0.80855262223606594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0.84269879513011559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0.80855262223606594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0.36467153275826314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0.31153357387349834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0.80543528321976676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0.76545153706643598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0.80543528321976676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0.76545153706643598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0.8936295966751866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0.86881818891014484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0.88076052358097212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0.85343965058330251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0.88076052358097212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0.85343965058330251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7rc9Kp6bpcg4n0mwL19Ra1FboQJgZ6Xca+atUiufGt0mYzqU2pq5wDpPJ89WSkwE35U6sTF8fgiyMHqqQi5qPQ==" saltValue="wyONG+sS7rJWfpAxhZQCX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N+CIlcHS2DgMCmYm6ahLoqByVckb7u645MST4gBhFLtLMmIZCD6jXkRy2ODRXqdnoSqsmNtCMY15N+frQnK4vg==" saltValue="OWIck5RX72idPB4PHkdRr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5.7273285099887952E-2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0.14156879332511371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0.14156879332511371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0.48755490483162522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0.48755490483162522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0.48755490483162522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0.48755490483162522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0.43384018117114209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0.43384018117114209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0.43384018117114209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0.43384018117114209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8.6344427374381555E-2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0.20416099737133692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0.20416099737133692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0.59677419354838712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0.59677419354838712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0.59677419354838712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0.59677419354838712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0.54379562043795637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0.54379562043795637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0.54379562043795637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0.54379562043795637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2.698650280034734E-2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7.0016251424105364E-2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7.0016251424105364E-2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0.30281903607153687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0.30281903607153687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0.30281903607153687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0.30281903607153687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0.25916382142627081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0.25916382142627081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0.25916382142627081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0.25916382142627081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5.2247274725923304E-2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0.13016682733921153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0.13016682733921153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0.46332737030411442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0.46332737030411442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0.46332737030411442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0.46332737030411442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0.41014549744396389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0.41014549744396389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0.41014549744396389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0.41014549744396389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0.43307770744755386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0.67465522287106972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0.67465522287106972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0.92285934687580351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0.92285934687580351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0.92285934687580351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0.92285934687580351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0.90597379803171829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0.90597379803171829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0.90597379803171829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0.90597379803171829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0.21365102483186491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0.42447358522327366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0.42447358522327366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0.80970504281636546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0.80970504281636546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0.80970504281636546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0.80970504281636546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0.77411339507567212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0.77411339507567212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0.77411339507567212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0.77411339507567212</v>
      </c>
    </row>
  </sheetData>
  <sheetProtection algorithmName="SHA-512" hashValue="R8KId/oqYAkUITnc7H9fawjfE5GsyZx6onDrxL4ZYVxnvSv4iTqxDeGz8MxN6wVMO4YaHOyOq9YTi06XeLnf9w==" saltValue="M/T5/Xg6bgT3fn6de1gQt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0.73345606614492276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0.7313048594940349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0.73954798734608018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0.74499641100579594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0.72977427109763848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0.72037722350707889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0.72370850209123128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0.73287256544147061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0.62708980407183124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0.62451961418687851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0.63440097971243836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0.64098118245752955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0.62269457416097007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0.61155588822348617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0.61549161934458863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0.62639206246674572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0.85019705910419729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0.84879380148705497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0.85415140187315675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0.85766383714461736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0.84779318058540964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0.84160946539920034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0.84380959578438364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0.84981679111899988</v>
      </c>
    </row>
  </sheetData>
  <sheetProtection algorithmName="SHA-512" hashValue="uulDndW6ZhTdpQI7CN4XRABNI4un3u47FkyoYRqcB3cQtih5Jj1w9mxPhr18oKoLJvg9WyQ/8YluSMOy8qhc3Q==" saltValue="Oa1SGQr4hKjbBv1ya+/b1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VBjKPKMIz7zm0653NCupJf2csBb6tnmazd6C+/4u5NzozzVK8YvnXjHyp6AVLu7nbqPSBsGxSQgXHFtJNx6axA==" saltValue="efibsLjjdklqIJnhCIfyE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gZpvMJQDyQ3akd3x+JYPRq7DKQ94F6TuwzsrGUR89eYFbYvEikZF8E/cUM6gjyMLpwM8f/NBuOAYLUnjTMXJqg==" saltValue="XAzMKeoQClseb351efE5Y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1.0467640526522441E-2</v>
      </c>
    </row>
    <row r="4" spans="1:8" ht="15.75" customHeight="1" x14ac:dyDescent="0.25">
      <c r="B4" s="19" t="s">
        <v>79</v>
      </c>
      <c r="C4" s="101">
        <v>0.1447940958960211</v>
      </c>
    </row>
    <row r="5" spans="1:8" ht="15.75" customHeight="1" x14ac:dyDescent="0.25">
      <c r="B5" s="19" t="s">
        <v>80</v>
      </c>
      <c r="C5" s="101">
        <v>7.1393503800682726E-2</v>
      </c>
    </row>
    <row r="6" spans="1:8" ht="15.75" customHeight="1" x14ac:dyDescent="0.25">
      <c r="B6" s="19" t="s">
        <v>81</v>
      </c>
      <c r="C6" s="101">
        <v>0.2473048367887892</v>
      </c>
    </row>
    <row r="7" spans="1:8" ht="15.75" customHeight="1" x14ac:dyDescent="0.25">
      <c r="B7" s="19" t="s">
        <v>82</v>
      </c>
      <c r="C7" s="101">
        <v>0.34136309247609009</v>
      </c>
    </row>
    <row r="8" spans="1:8" ht="15.75" customHeight="1" x14ac:dyDescent="0.25">
      <c r="B8" s="19" t="s">
        <v>83</v>
      </c>
      <c r="C8" s="101">
        <v>1.6030576094786569E-2</v>
      </c>
    </row>
    <row r="9" spans="1:8" ht="15.75" customHeight="1" x14ac:dyDescent="0.25">
      <c r="B9" s="19" t="s">
        <v>84</v>
      </c>
      <c r="C9" s="101">
        <v>9.5747714538464132E-2</v>
      </c>
    </row>
    <row r="10" spans="1:8" ht="15.75" customHeight="1" x14ac:dyDescent="0.25">
      <c r="B10" s="19" t="s">
        <v>85</v>
      </c>
      <c r="C10" s="101">
        <v>7.2898539878643864E-2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0.15255478963585109</v>
      </c>
      <c r="D14" s="55">
        <v>0.15255478963585109</v>
      </c>
      <c r="E14" s="55">
        <v>0.15255478963585109</v>
      </c>
      <c r="F14" s="55">
        <v>0.15255478963585109</v>
      </c>
    </row>
    <row r="15" spans="1:8" ht="15.75" customHeight="1" x14ac:dyDescent="0.25">
      <c r="B15" s="19" t="s">
        <v>88</v>
      </c>
      <c r="C15" s="101">
        <v>0.28364343660940178</v>
      </c>
      <c r="D15" s="101">
        <v>0.28364343660940178</v>
      </c>
      <c r="E15" s="101">
        <v>0.28364343660940178</v>
      </c>
      <c r="F15" s="101">
        <v>0.28364343660940178</v>
      </c>
    </row>
    <row r="16" spans="1:8" ht="15.75" customHeight="1" x14ac:dyDescent="0.25">
      <c r="B16" s="19" t="s">
        <v>89</v>
      </c>
      <c r="C16" s="101">
        <v>3.2342922283402679E-2</v>
      </c>
      <c r="D16" s="101">
        <v>3.2342922283402679E-2</v>
      </c>
      <c r="E16" s="101">
        <v>3.2342922283402679E-2</v>
      </c>
      <c r="F16" s="101">
        <v>3.2342922283402679E-2</v>
      </c>
    </row>
    <row r="17" spans="1:8" ht="15.75" customHeight="1" x14ac:dyDescent="0.25">
      <c r="B17" s="19" t="s">
        <v>90</v>
      </c>
      <c r="C17" s="101">
        <v>2.9030453507298162E-3</v>
      </c>
      <c r="D17" s="101">
        <v>2.9030453507298162E-3</v>
      </c>
      <c r="E17" s="101">
        <v>2.9030453507298162E-3</v>
      </c>
      <c r="F17" s="101">
        <v>2.9030453507298162E-3</v>
      </c>
    </row>
    <row r="18" spans="1:8" ht="15.75" customHeight="1" x14ac:dyDescent="0.25">
      <c r="B18" s="19" t="s">
        <v>91</v>
      </c>
      <c r="C18" s="101">
        <v>1.2333453304675759E-4</v>
      </c>
      <c r="D18" s="101">
        <v>1.2333453304675759E-4</v>
      </c>
      <c r="E18" s="101">
        <v>1.2333453304675759E-4</v>
      </c>
      <c r="F18" s="101">
        <v>1.2333453304675759E-4</v>
      </c>
    </row>
    <row r="19" spans="1:8" ht="15.75" customHeight="1" x14ac:dyDescent="0.25">
      <c r="B19" s="19" t="s">
        <v>92</v>
      </c>
      <c r="C19" s="101">
        <v>5.0556339451664351E-2</v>
      </c>
      <c r="D19" s="101">
        <v>5.0556339451664351E-2</v>
      </c>
      <c r="E19" s="101">
        <v>5.0556339451664351E-2</v>
      </c>
      <c r="F19" s="101">
        <v>5.0556339451664351E-2</v>
      </c>
    </row>
    <row r="20" spans="1:8" ht="15.75" customHeight="1" x14ac:dyDescent="0.25">
      <c r="B20" s="19" t="s">
        <v>93</v>
      </c>
      <c r="C20" s="101">
        <v>2.0191976307360649E-3</v>
      </c>
      <c r="D20" s="101">
        <v>2.0191976307360649E-3</v>
      </c>
      <c r="E20" s="101">
        <v>2.0191976307360649E-3</v>
      </c>
      <c r="F20" s="101">
        <v>2.0191976307360649E-3</v>
      </c>
    </row>
    <row r="21" spans="1:8" ht="15.75" customHeight="1" x14ac:dyDescent="0.25">
      <c r="B21" s="19" t="s">
        <v>94</v>
      </c>
      <c r="C21" s="101">
        <v>0.14736180051802891</v>
      </c>
      <c r="D21" s="101">
        <v>0.14736180051802891</v>
      </c>
      <c r="E21" s="101">
        <v>0.14736180051802891</v>
      </c>
      <c r="F21" s="101">
        <v>0.14736180051802891</v>
      </c>
    </row>
    <row r="22" spans="1:8" ht="15.75" customHeight="1" x14ac:dyDescent="0.25">
      <c r="B22" s="19" t="s">
        <v>95</v>
      </c>
      <c r="C22" s="101">
        <v>0.32849513398713859</v>
      </c>
      <c r="D22" s="101">
        <v>0.32849513398713859</v>
      </c>
      <c r="E22" s="101">
        <v>0.32849513398713859</v>
      </c>
      <c r="F22" s="101">
        <v>0.32849513398713859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4.5856951999999999E-2</v>
      </c>
    </row>
    <row r="27" spans="1:8" ht="15.75" customHeight="1" x14ac:dyDescent="0.25">
      <c r="B27" s="19" t="s">
        <v>102</v>
      </c>
      <c r="C27" s="101">
        <v>2.7671261999999999E-2</v>
      </c>
    </row>
    <row r="28" spans="1:8" ht="15.75" customHeight="1" x14ac:dyDescent="0.25">
      <c r="B28" s="19" t="s">
        <v>103</v>
      </c>
      <c r="C28" s="101">
        <v>0.19152286900000001</v>
      </c>
    </row>
    <row r="29" spans="1:8" ht="15.75" customHeight="1" x14ac:dyDescent="0.25">
      <c r="B29" s="19" t="s">
        <v>104</v>
      </c>
      <c r="C29" s="101">
        <v>0.15015504499999999</v>
      </c>
    </row>
    <row r="30" spans="1:8" ht="15.75" customHeight="1" x14ac:dyDescent="0.25">
      <c r="B30" s="19" t="s">
        <v>2</v>
      </c>
      <c r="C30" s="101">
        <v>5.0148384999999997E-2</v>
      </c>
    </row>
    <row r="31" spans="1:8" ht="15.75" customHeight="1" x14ac:dyDescent="0.25">
      <c r="B31" s="19" t="s">
        <v>105</v>
      </c>
      <c r="C31" s="101">
        <v>3.0652005E-2</v>
      </c>
    </row>
    <row r="32" spans="1:8" ht="15.75" customHeight="1" x14ac:dyDescent="0.25">
      <c r="B32" s="19" t="s">
        <v>106</v>
      </c>
      <c r="C32" s="101">
        <v>8.6489898999999995E-2</v>
      </c>
    </row>
    <row r="33" spans="2:3" ht="15.75" customHeight="1" x14ac:dyDescent="0.25">
      <c r="B33" s="19" t="s">
        <v>107</v>
      </c>
      <c r="C33" s="101">
        <v>0.168218437</v>
      </c>
    </row>
    <row r="34" spans="2:3" ht="15.75" customHeight="1" x14ac:dyDescent="0.25">
      <c r="B34" s="19" t="s">
        <v>108</v>
      </c>
      <c r="C34" s="101">
        <v>0.24928514500000001</v>
      </c>
    </row>
    <row r="35" spans="2:3" ht="15.75" customHeight="1" x14ac:dyDescent="0.25">
      <c r="B35" s="27" t="s">
        <v>41</v>
      </c>
      <c r="C35" s="48">
        <f>SUM(C26:C34)</f>
        <v>0.99999999899999992</v>
      </c>
    </row>
  </sheetData>
  <sheetProtection algorithmName="SHA-512" hashValue="3c8l3dDOu0Mj/ZbTDCZa6lirFQUwJuG5ngFa88nmaotXxW7/h5cVhaN8wfCAbSHKIt4yEiY1YEAmOMGv8sD0PQ==" saltValue="hJot+ESPhsr8iIPEUm9NJ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0.42782973644226774</v>
      </c>
      <c r="D2" s="52">
        <f>IFERROR(1-_xlfn.NORM.DIST(_xlfn.NORM.INV(SUM(D4:D5), 0, 1) + 1, 0, 1, TRUE), "")</f>
        <v>0.42782973644226774</v>
      </c>
      <c r="E2" s="52">
        <f>IFERROR(1-_xlfn.NORM.DIST(_xlfn.NORM.INV(SUM(E4:E5), 0, 1) + 1, 0, 1, TRUE), "")</f>
        <v>0.34990424191101321</v>
      </c>
      <c r="F2" s="52">
        <f>IFERROR(1-_xlfn.NORM.DIST(_xlfn.NORM.INV(SUM(F4:F5), 0, 1) + 1, 0, 1, TRUE), "")</f>
        <v>0.20938721371232405</v>
      </c>
      <c r="G2" s="52">
        <f>IFERROR(1-_xlfn.NORM.DIST(_xlfn.NORM.INV(SUM(G4:G5), 0, 1) + 1, 0, 1, TRUE), "")</f>
        <v>0.12626395067250185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0.36551958921462324</v>
      </c>
      <c r="D3" s="52">
        <f>IFERROR(_xlfn.NORM.DIST(_xlfn.NORM.INV(SUM(D4:D5), 0, 1) + 1, 0, 1, TRUE) - SUM(D4:D5), "")</f>
        <v>0.36551958921462324</v>
      </c>
      <c r="E3" s="52">
        <f>IFERROR(_xlfn.NORM.DIST(_xlfn.NORM.INV(SUM(E4:E5), 0, 1) + 1, 0, 1, TRUE) - SUM(E4:E5), "")</f>
        <v>0.38062717492238679</v>
      </c>
      <c r="F3" s="52">
        <f>IFERROR(_xlfn.NORM.DIST(_xlfn.NORM.INV(SUM(F4:F5), 0, 1) + 1, 0, 1, TRUE) - SUM(F4:F5), "")</f>
        <v>0.36652652847231493</v>
      </c>
      <c r="G3" s="52">
        <f>IFERROR(_xlfn.NORM.DIST(_xlfn.NORM.INV(SUM(G4:G5), 0, 1) + 1, 0, 1, TRUE) - SUM(G4:G5), "")</f>
        <v>0.31639512935603209</v>
      </c>
    </row>
    <row r="4" spans="1:15" ht="15.75" customHeight="1" x14ac:dyDescent="0.25">
      <c r="B4" s="5" t="s">
        <v>114</v>
      </c>
      <c r="C4" s="45">
        <v>0.113363817334175</v>
      </c>
      <c r="D4" s="53">
        <v>0.113363817334175</v>
      </c>
      <c r="E4" s="53">
        <v>0.15989740192890201</v>
      </c>
      <c r="F4" s="53">
        <v>0.214758396148682</v>
      </c>
      <c r="G4" s="53">
        <v>0.27542984485626198</v>
      </c>
    </row>
    <row r="5" spans="1:15" ht="15.75" customHeight="1" x14ac:dyDescent="0.25">
      <c r="B5" s="5" t="s">
        <v>115</v>
      </c>
      <c r="C5" s="45">
        <v>9.3286857008934007E-2</v>
      </c>
      <c r="D5" s="53">
        <v>9.3286857008934007E-2</v>
      </c>
      <c r="E5" s="53">
        <v>0.109571181237698</v>
      </c>
      <c r="F5" s="53">
        <v>0.20932786166667899</v>
      </c>
      <c r="G5" s="53">
        <v>0.28191107511520402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0.43605474511943898</v>
      </c>
      <c r="D8" s="52">
        <f>IFERROR(1-_xlfn.NORM.DIST(_xlfn.NORM.INV(SUM(D10:D11), 0, 1) + 1, 0, 1, TRUE), "")</f>
        <v>0.43605474511943898</v>
      </c>
      <c r="E8" s="52">
        <f>IFERROR(1-_xlfn.NORM.DIST(_xlfn.NORM.INV(SUM(E10:E11), 0, 1) + 1, 0, 1, TRUE), "")</f>
        <v>0.37040133979334855</v>
      </c>
      <c r="F8" s="52">
        <f>IFERROR(1-_xlfn.NORM.DIST(_xlfn.NORM.INV(SUM(F10:F11), 0, 1) + 1, 0, 1, TRUE), "")</f>
        <v>0.43908074198567082</v>
      </c>
      <c r="G8" s="52">
        <f>IFERROR(1-_xlfn.NORM.DIST(_xlfn.NORM.INV(SUM(G10:G11), 0, 1) + 1, 0, 1, TRUE), "")</f>
        <v>0.54928895687384993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0.36321633179820884</v>
      </c>
      <c r="D9" s="52">
        <f>IFERROR(_xlfn.NORM.DIST(_xlfn.NORM.INV(SUM(D10:D11), 0, 1) + 1, 0, 1, TRUE) - SUM(D10:D11), "")</f>
        <v>0.36321633179820884</v>
      </c>
      <c r="E9" s="52">
        <f>IFERROR(_xlfn.NORM.DIST(_xlfn.NORM.INV(SUM(E10:E11), 0, 1) + 1, 0, 1, TRUE) - SUM(E10:E11), "")</f>
        <v>0.37791771236643745</v>
      </c>
      <c r="F9" s="52">
        <f>IFERROR(_xlfn.NORM.DIST(_xlfn.NORM.INV(SUM(F10:F11), 0, 1) + 1, 0, 1, TRUE) - SUM(F10:F11), "")</f>
        <v>0.36233800204194389</v>
      </c>
      <c r="G9" s="52">
        <f>IFERROR(_xlfn.NORM.DIST(_xlfn.NORM.INV(SUM(G10:G11), 0, 1) + 1, 0, 1, TRUE) - SUM(G10:G11), "")</f>
        <v>0.32017591366843789</v>
      </c>
    </row>
    <row r="10" spans="1:15" ht="15.75" customHeight="1" x14ac:dyDescent="0.25">
      <c r="B10" s="5" t="s">
        <v>119</v>
      </c>
      <c r="C10" s="45">
        <v>0.108798742294312</v>
      </c>
      <c r="D10" s="53">
        <v>0.108798742294312</v>
      </c>
      <c r="E10" s="53">
        <v>0.149838626384735</v>
      </c>
      <c r="F10" s="53">
        <v>0.13560928404331199</v>
      </c>
      <c r="G10" s="53">
        <v>9.4634562730789198E-2</v>
      </c>
    </row>
    <row r="11" spans="1:15" ht="15.75" customHeight="1" x14ac:dyDescent="0.25">
      <c r="B11" s="5" t="s">
        <v>120</v>
      </c>
      <c r="C11" s="45">
        <v>9.1930180788040203E-2</v>
      </c>
      <c r="D11" s="53">
        <v>9.1930180788040203E-2</v>
      </c>
      <c r="E11" s="53">
        <v>0.101842321455479</v>
      </c>
      <c r="F11" s="53">
        <v>6.2971971929073292E-2</v>
      </c>
      <c r="G11" s="53">
        <v>3.5900566726923003E-2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0.97213777649999999</v>
      </c>
      <c r="D14" s="54">
        <v>0.97637391212799995</v>
      </c>
      <c r="E14" s="54">
        <v>0.97637391212799995</v>
      </c>
      <c r="F14" s="54">
        <v>0.93586611214799997</v>
      </c>
      <c r="G14" s="54">
        <v>0.93586611214799997</v>
      </c>
      <c r="H14" s="45">
        <v>0.63</v>
      </c>
      <c r="I14" s="55">
        <v>0.63</v>
      </c>
      <c r="J14" s="55">
        <v>0.63</v>
      </c>
      <c r="K14" s="55">
        <v>0.63</v>
      </c>
      <c r="L14" s="45">
        <v>0.70199999999999985</v>
      </c>
      <c r="M14" s="55">
        <v>0.70199999999999985</v>
      </c>
      <c r="N14" s="55">
        <v>0.70199999999999985</v>
      </c>
      <c r="O14" s="55">
        <v>0.70199999999999985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0.51605156155281307</v>
      </c>
      <c r="D15" s="52">
        <f t="shared" si="0"/>
        <v>0.51830028026185182</v>
      </c>
      <c r="E15" s="52">
        <f t="shared" si="0"/>
        <v>0.51830028026185182</v>
      </c>
      <c r="F15" s="52">
        <f t="shared" si="0"/>
        <v>0.49679703870486863</v>
      </c>
      <c r="G15" s="52">
        <f t="shared" si="0"/>
        <v>0.49679703870486863</v>
      </c>
      <c r="H15" s="52">
        <f t="shared" si="0"/>
        <v>0.33443046000000004</v>
      </c>
      <c r="I15" s="52">
        <f t="shared" si="0"/>
        <v>0.33443046000000004</v>
      </c>
      <c r="J15" s="52">
        <f t="shared" si="0"/>
        <v>0.33443046000000004</v>
      </c>
      <c r="K15" s="52">
        <f t="shared" si="0"/>
        <v>0.33443046000000004</v>
      </c>
      <c r="L15" s="52">
        <f t="shared" si="0"/>
        <v>0.37265108399999997</v>
      </c>
      <c r="M15" s="52">
        <f t="shared" si="0"/>
        <v>0.37265108399999997</v>
      </c>
      <c r="N15" s="52">
        <f t="shared" si="0"/>
        <v>0.37265108399999997</v>
      </c>
      <c r="O15" s="52">
        <f t="shared" si="0"/>
        <v>0.37265108399999997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Wg6g1IdsuPHD9Fr0eoIRVpG9ifSK/6nep6iOKQwhal+HGt6d5WqRUjG8rnZSKq8oAmgvL1AXpXQ/evfKsfTUNg==" saltValue="vUxyRPlzWQj2PBqa3aOt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0.20986087620258301</v>
      </c>
      <c r="D2" s="53">
        <v>8.6708339999999995E-2</v>
      </c>
      <c r="E2" s="53"/>
      <c r="F2" s="53"/>
      <c r="G2" s="53"/>
    </row>
    <row r="3" spans="1:7" x14ac:dyDescent="0.25">
      <c r="B3" s="3" t="s">
        <v>130</v>
      </c>
      <c r="C3" s="53">
        <v>0.419663816690445</v>
      </c>
      <c r="D3" s="53">
        <v>0.27589580000000002</v>
      </c>
      <c r="E3" s="53"/>
      <c r="F3" s="53"/>
      <c r="G3" s="53"/>
    </row>
    <row r="4" spans="1:7" x14ac:dyDescent="0.25">
      <c r="B4" s="3" t="s">
        <v>131</v>
      </c>
      <c r="C4" s="53">
        <v>0.30791074037551902</v>
      </c>
      <c r="D4" s="53">
        <v>0.56925510000000001</v>
      </c>
      <c r="E4" s="53">
        <v>0.84019792079925493</v>
      </c>
      <c r="F4" s="53">
        <v>0.62838995456695601</v>
      </c>
      <c r="G4" s="53"/>
    </row>
    <row r="5" spans="1:7" x14ac:dyDescent="0.25">
      <c r="B5" s="3" t="s">
        <v>132</v>
      </c>
      <c r="C5" s="52">
        <v>6.25645667314529E-2</v>
      </c>
      <c r="D5" s="52">
        <v>6.81407675147057E-2</v>
      </c>
      <c r="E5" s="52">
        <f>1-SUM(E2:E4)</f>
        <v>0.15980207920074507</v>
      </c>
      <c r="F5" s="52">
        <f>1-SUM(F2:F4)</f>
        <v>0.37161004543304399</v>
      </c>
      <c r="G5" s="52">
        <f>1-SUM(G2:G4)</f>
        <v>1</v>
      </c>
    </row>
  </sheetData>
  <sheetProtection algorithmName="SHA-512" hashValue="CtlkGr0JUflhw5Inh2QDkyyKodpa0XGA2bV/eqJIbPtO+SwNo3X9enwXjLqQDYoUS7CPfsu8klwWSRUQREXkeg==" saltValue="rO9K11Lzfb8yvPuCNbeP+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UDD+UYONxxmsoj3+p9Pv6lqQ+6WkCXtXGR4esEfHL6Cf6Kos5Q7IflOIyqSpnlSq19w3FI5HGTw4qEgLJKDvvA==" saltValue="GB4zn5yDF18JNYEnpYzU0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F3caym8IokO2nrj794i51XUWNSoJ/U8Syl1P5MmsKFNBIUTnjw9rqInYehfZqV9+Hv7a9R9liDNHs17pFnCfOw==" saltValue="JlB+5FrSZ3l1ntnOxCF2V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WpheoyRra6T/oVFuhAQB+3eKt9gREjUhggziW6u0H9izQ7G8Oy9+tXXw2IiLGbmU/BxEHTPySGRI/0N/u7n6fQ==" saltValue="Cm2aO+6ej3BH4ey4j3xdG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jnL8YdE8hg2ceI6h5I0su/BuBc7e2nMu0spqIZfdrAZg5jl/n9G6pd1UzzQa7JaZyom5Ujr64PDoo57xr4rknw==" saltValue="XGpfuYNzenQ79JxMWv4NN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2024-03-18T02:05:17Z</dcterms:modified>
</cp:coreProperties>
</file>