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31CAA59B-E27E-4D5B-B53D-22DD5AD79AAF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<sst xmlns="http://schemas.openxmlformats.org/spreadsheetml/2006/main" count="2089" uniqueCount="341">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</sst>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415951.21875</v>
      </c>
    </row>
    <row r="8" spans="1:3" ht="15" customHeight="1" x14ac:dyDescent="0.25">
      <c r="B8" s="7" t="s">
        <v>8</v>
      </c>
      <c r="C8" s="38">
        <v>5.5E-2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0.92928009033203096</v>
      </c>
    </row>
    <row r="11" spans="1:3" ht="15" customHeight="1" x14ac:dyDescent="0.25">
      <c r="B11" s="7" t="s">
        <v>11</v>
      </c>
      <c r="C11" s="38">
        <v>0.93900000000000006</v>
      </c>
    </row>
    <row r="12" spans="1:3" ht="15" customHeight="1" x14ac:dyDescent="0.25">
      <c r="B12" s="7" t="s">
        <v>12</v>
      </c>
      <c r="C12" s="38">
        <v>0.89700000000000002</v>
      </c>
    </row>
    <row r="13" spans="1:3" ht="15" customHeight="1" x14ac:dyDescent="0.25">
      <c r="B13" s="7" t="s">
        <v>13</v>
      </c>
      <c r="C13" s="38">
        <v>0.74900000000000011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5.9700000000000003E-2</v>
      </c>
    </row>
    <row r="24" spans="1:3" ht="15" customHeight="1" x14ac:dyDescent="0.25">
      <c r="B24" s="10" t="s">
        <v>22</v>
      </c>
      <c r="C24" s="39">
        <v>0.495</v>
      </c>
    </row>
    <row r="25" spans="1:3" ht="15" customHeight="1" x14ac:dyDescent="0.25">
      <c r="B25" s="10" t="s">
        <v>23</v>
      </c>
      <c r="C25" s="39">
        <v>0.42230000000000001</v>
      </c>
    </row>
    <row r="26" spans="1:3" ht="15" customHeight="1" x14ac:dyDescent="0.25">
      <c r="B26" s="10" t="s">
        <v>24</v>
      </c>
      <c r="C26" s="39">
        <v>2.3E-2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0.35675533525383901</v>
      </c>
    </row>
    <row r="30" spans="1:3" ht="14.25" customHeight="1" x14ac:dyDescent="0.25">
      <c r="B30" s="16" t="s">
        <v>27</v>
      </c>
      <c r="C30" s="103">
        <v>6.5910586704521698E-2</v>
      </c>
    </row>
    <row r="31" spans="1:3" ht="14.25" customHeight="1" x14ac:dyDescent="0.25">
      <c r="B31" s="16" t="s">
        <v>28</v>
      </c>
      <c r="C31" s="103">
        <v>9.262041217609189E-2</v>
      </c>
    </row>
    <row r="32" spans="1:3" ht="14.25" customHeight="1" x14ac:dyDescent="0.25">
      <c r="B32" s="16" t="s">
        <v>29</v>
      </c>
      <c r="C32" s="103">
        <v>0.48471366586554798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3.2192476903799498</v>
      </c>
    </row>
    <row r="38" spans="1:5" ht="15" customHeight="1" x14ac:dyDescent="0.25">
      <c r="B38" s="22" t="s">
        <v>34</v>
      </c>
      <c r="C38" s="37">
        <v>4.6287359324798301</v>
      </c>
      <c r="D38" s="104"/>
      <c r="E38" s="105"/>
    </row>
    <row r="39" spans="1:5" ht="15" customHeight="1" x14ac:dyDescent="0.25">
      <c r="B39" s="22" t="s">
        <v>35</v>
      </c>
      <c r="C39" s="37">
        <v>5.3157425035678498</v>
      </c>
      <c r="D39" s="104"/>
      <c r="E39" s="104"/>
    </row>
    <row r="40" spans="1:5" ht="15" customHeight="1" x14ac:dyDescent="0.25">
      <c r="B40" s="22" t="s">
        <v>36</v>
      </c>
      <c r="C40" s="106">
        <v>0.12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4.436204139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2.11395375E-2</v>
      </c>
      <c r="D45" s="104"/>
    </row>
    <row r="46" spans="1:5" ht="15.75" customHeight="1" x14ac:dyDescent="0.25">
      <c r="B46" s="22" t="s">
        <v>41</v>
      </c>
      <c r="C46" s="39">
        <v>7.4799499999999991E-2</v>
      </c>
      <c r="D46" s="104"/>
    </row>
    <row r="47" spans="1:5" ht="15.75" customHeight="1" x14ac:dyDescent="0.25">
      <c r="B47" s="22" t="s">
        <v>42</v>
      </c>
      <c r="C47" s="39">
        <v>0.13228186250000001</v>
      </c>
      <c r="D47" s="104"/>
      <c r="E47" s="105"/>
    </row>
    <row r="48" spans="1:5" ht="15" customHeight="1" x14ac:dyDescent="0.25">
      <c r="B48" s="22" t="s">
        <v>43</v>
      </c>
      <c r="C48" s="40">
        <v>0.77177909999999994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2.8</v>
      </c>
      <c r="D51" s="104"/>
    </row>
    <row r="52" spans="1:4" ht="15" customHeight="1" x14ac:dyDescent="0.25">
      <c r="B52" s="22" t="s">
        <v>46</v>
      </c>
      <c r="C52" s="42">
        <v>2.8</v>
      </c>
    </row>
    <row r="53" spans="1:4" ht="15.75" customHeight="1" x14ac:dyDescent="0.25">
      <c r="B53" s="22" t="s">
        <v>47</v>
      </c>
      <c r="C53" s="42">
        <v>2.8</v>
      </c>
    </row>
    <row r="54" spans="1:4" ht="15.75" customHeight="1" x14ac:dyDescent="0.25">
      <c r="B54" s="22" t="s">
        <v>48</v>
      </c>
      <c r="C54" s="42">
        <v>2.8</v>
      </c>
    </row>
    <row r="55" spans="1:4" ht="15.75" customHeight="1" x14ac:dyDescent="0.25">
      <c r="B55" s="22" t="s">
        <v>49</v>
      </c>
      <c r="C55" s="42">
        <v>2.8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1.6428571428571431E-2</v>
      </c>
    </row>
    <row r="59" spans="1:4" ht="15.75" customHeight="1" x14ac:dyDescent="0.25">
      <c r="B59" s="22" t="s">
        <v>52</v>
      </c>
      <c r="C59" s="38">
        <v>0.62314999999999998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4.5343641999999899E-2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0.82379151915268589</v>
      </c>
      <c r="C2" s="99">
        <v>0.95</v>
      </c>
      <c r="D2" s="100">
        <v>66.2077864022162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40.063438578113967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542.61982788724652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6.5039724560692287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5.9878804175095314E-3</v>
      </c>
      <c r="C10" s="99">
        <v>0.95</v>
      </c>
      <c r="D10" s="100">
        <v>13.195738021909881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5.9878804175095314E-3</v>
      </c>
      <c r="C11" s="99">
        <v>0.95</v>
      </c>
      <c r="D11" s="100">
        <v>13.195738021909881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5.9878804175095314E-3</v>
      </c>
      <c r="C12" s="99">
        <v>0.95</v>
      </c>
      <c r="D12" s="100">
        <v>13.195738021909881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5.9878804175095314E-3</v>
      </c>
      <c r="C13" s="99">
        <v>0.95</v>
      </c>
      <c r="D13" s="100">
        <v>13.195738021909881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5.9878804175095314E-3</v>
      </c>
      <c r="C14" s="99">
        <v>0.95</v>
      </c>
      <c r="D14" s="100">
        <v>13.195738021909881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5.9878804175095314E-3</v>
      </c>
      <c r="C15" s="99">
        <v>0.95</v>
      </c>
      <c r="D15" s="100">
        <v>13.195738021909881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0.90250382180522548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</v>
      </c>
      <c r="C18" s="99">
        <v>0.95</v>
      </c>
      <c r="D18" s="100">
        <v>12.47074045559749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12.47074045559749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1</v>
      </c>
      <c r="C21" s="99">
        <v>0.95</v>
      </c>
      <c r="D21" s="100">
        <v>68.582775194044444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22.867873379757981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4.3940617735474108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0.25277899999999998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0.57867640045584801</v>
      </c>
      <c r="C27" s="99">
        <v>0.95</v>
      </c>
      <c r="D27" s="100">
        <v>18.764182705510279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0.97567199030962204</v>
      </c>
      <c r="C29" s="99">
        <v>0.95</v>
      </c>
      <c r="D29" s="100">
        <v>132.3139429353005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1.1924310040780739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4.8444414140000003E-2</v>
      </c>
      <c r="C32" s="99">
        <v>0.95</v>
      </c>
      <c r="D32" s="100">
        <v>1.956691543072911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0.25723439999999997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2.764629090051816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0.96012343661767108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2.8</v>
      </c>
      <c r="C2" s="118">
        <f>'Entradas de población-año base'!C52</f>
        <v>2.8</v>
      </c>
      <c r="D2" s="118">
        <f>'Entradas de población-año base'!C53</f>
        <v>2.8</v>
      </c>
      <c r="E2" s="118">
        <f>'Entradas de población-año base'!C54</f>
        <v>2.8</v>
      </c>
      <c r="F2" s="118">
        <f>'Entradas de población-año base'!C55</f>
        <v>2.8</v>
      </c>
    </row>
    <row r="3" spans="1:6" ht="15.75" customHeight="1" x14ac:dyDescent="0.25">
      <c r="A3" s="4" t="s">
        <v>204</v>
      </c>
      <c r="B3" s="118">
        <f>frac_mam_1month * 2.6</f>
        <v>0.17776523180000001</v>
      </c>
      <c r="C3" s="118">
        <f>frac_mam_1_5months * 2.6</f>
        <v>0.17776523180000001</v>
      </c>
      <c r="D3" s="118">
        <f>frac_mam_6_11months * 2.6</f>
        <v>6.6276051400000008E-2</v>
      </c>
      <c r="E3" s="118">
        <f>frac_mam_12_23months * 2.6</f>
        <v>7.6517144600000003E-3</v>
      </c>
      <c r="F3" s="118">
        <f>frac_mam_24_59months * 2.6</f>
        <v>5.2454209599999996E-2</v>
      </c>
    </row>
    <row r="4" spans="1:6" ht="15.75" customHeight="1" x14ac:dyDescent="0.25">
      <c r="A4" s="4" t="s">
        <v>205</v>
      </c>
      <c r="B4" s="118">
        <f>frac_sam_1month * 2.6</f>
        <v>0</v>
      </c>
      <c r="C4" s="118">
        <f>frac_sam_1_5months * 2.6</f>
        <v>0</v>
      </c>
      <c r="D4" s="118">
        <f>frac_sam_6_11months * 2.6</f>
        <v>3.5181104400000003E-2</v>
      </c>
      <c r="E4" s="118">
        <f>frac_sam_12_23months * 2.6</f>
        <v>1.5872004460000002E-2</v>
      </c>
      <c r="F4" s="118">
        <f>frac_sam_24_59months * 2.6</f>
        <v>1.0436327200000001E-2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5.5E-2</v>
      </c>
      <c r="E2" s="51">
        <f>food_insecure</f>
        <v>5.5E-2</v>
      </c>
      <c r="F2" s="51">
        <f>food_insecure</f>
        <v>5.5E-2</v>
      </c>
      <c r="G2" s="51">
        <f>food_insecure</f>
        <v>5.5E-2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5.5E-2</v>
      </c>
      <c r="F5" s="51">
        <f>food_insecure</f>
        <v>5.5E-2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4.6000000000000006E-2</v>
      </c>
      <c r="D7" s="51">
        <f>diarrhoea_1_5mo*frac_diarrhea_severe</f>
        <v>4.6000000000000006E-2</v>
      </c>
      <c r="E7" s="51">
        <f>diarrhoea_6_11mo*frac_diarrhea_severe</f>
        <v>4.6000000000000006E-2</v>
      </c>
      <c r="F7" s="51">
        <f>diarrhoea_12_23mo*frac_diarrhea_severe</f>
        <v>4.6000000000000006E-2</v>
      </c>
      <c r="G7" s="51">
        <f>diarrhoea_24_59mo*frac_diarrhea_severe</f>
        <v>4.6000000000000006E-2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5.5E-2</v>
      </c>
      <c r="F8" s="51">
        <f>food_insecure</f>
        <v>5.5E-2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5.5E-2</v>
      </c>
      <c r="F9" s="51">
        <f>food_insecure</f>
        <v>5.5E-2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0.89700000000000002</v>
      </c>
      <c r="E10" s="51">
        <f>IF(ISBLANK(comm_deliv), frac_children_health_facility,1)</f>
        <v>0.89700000000000002</v>
      </c>
      <c r="F10" s="51">
        <f>IF(ISBLANK(comm_deliv), frac_children_health_facility,1)</f>
        <v>0.89700000000000002</v>
      </c>
      <c r="G10" s="51">
        <f>IF(ISBLANK(comm_deliv), frac_children_health_facility,1)</f>
        <v>0.89700000000000002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4.6000000000000006E-2</v>
      </c>
      <c r="D12" s="51">
        <f>diarrhoea_1_5mo*frac_diarrhea_severe</f>
        <v>4.6000000000000006E-2</v>
      </c>
      <c r="E12" s="51">
        <f>diarrhoea_6_11mo*frac_diarrhea_severe</f>
        <v>4.6000000000000006E-2</v>
      </c>
      <c r="F12" s="51">
        <f>diarrhoea_12_23mo*frac_diarrhea_severe</f>
        <v>4.6000000000000006E-2</v>
      </c>
      <c r="G12" s="51">
        <f>diarrhoea_24_59mo*frac_diarrhea_severe</f>
        <v>4.6000000000000006E-2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5.5E-2</v>
      </c>
      <c r="I15" s="51">
        <f>food_insecure</f>
        <v>5.5E-2</v>
      </c>
      <c r="J15" s="51">
        <f>food_insecure</f>
        <v>5.5E-2</v>
      </c>
      <c r="K15" s="51">
        <f>food_insecure</f>
        <v>5.5E-2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0.93900000000000006</v>
      </c>
      <c r="I18" s="51">
        <f>frac_PW_health_facility</f>
        <v>0.93900000000000006</v>
      </c>
      <c r="J18" s="51">
        <f>frac_PW_health_facility</f>
        <v>0.93900000000000006</v>
      </c>
      <c r="K18" s="51">
        <f>frac_PW_health_facility</f>
        <v>0.93900000000000006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0.74900000000000011</v>
      </c>
      <c r="M24" s="51">
        <f>famplan_unmet_need</f>
        <v>0.74900000000000011</v>
      </c>
      <c r="N24" s="51">
        <f>famplan_unmet_need</f>
        <v>0.74900000000000011</v>
      </c>
      <c r="O24" s="51">
        <f>famplan_unmet_need</f>
        <v>0.74900000000000011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3.5469570693969873E-2</v>
      </c>
      <c r="M25" s="51">
        <f>(1-food_insecure)*(0.49)+food_insecure*(0.7)</f>
        <v>0.50154999999999994</v>
      </c>
      <c r="N25" s="51">
        <f>(1-food_insecure)*(0.49)+food_insecure*(0.7)</f>
        <v>0.50154999999999994</v>
      </c>
      <c r="O25" s="51">
        <f>(1-food_insecure)*(0.49)+food_insecure*(0.7)</f>
        <v>0.50154999999999994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1.5201244583129945E-2</v>
      </c>
      <c r="M26" s="51">
        <f>(1-food_insecure)*(0.21)+food_insecure*(0.3)</f>
        <v>0.21494999999999997</v>
      </c>
      <c r="N26" s="51">
        <f>(1-food_insecure)*(0.21)+food_insecure*(0.3)</f>
        <v>0.21494999999999997</v>
      </c>
      <c r="O26" s="51">
        <f>(1-food_insecure)*(0.21)+food_insecure*(0.3)</f>
        <v>0.21494999999999997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2.0049094390869222E-2</v>
      </c>
      <c r="M27" s="51">
        <f>(1-food_insecure)*(0.3)</f>
        <v>0.28349999999999997</v>
      </c>
      <c r="N27" s="51">
        <f>(1-food_insecure)*(0.3)</f>
        <v>0.28349999999999997</v>
      </c>
      <c r="O27" s="51">
        <f>(1-food_insecure)*(0.3)</f>
        <v>0.28349999999999997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0.92928009033203085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71953.26920000001</v>
      </c>
      <c r="C2" s="107">
        <v>199000</v>
      </c>
      <c r="D2" s="107">
        <v>417000</v>
      </c>
      <c r="E2" s="107">
        <v>525000</v>
      </c>
      <c r="F2" s="107">
        <v>363000</v>
      </c>
      <c r="G2" s="108">
        <f t="shared" ref="G2:G16" si="0">C2+D2+E2+F2</f>
        <v>1504000</v>
      </c>
      <c r="H2" s="108">
        <f t="shared" ref="H2:H40" si="1">(B2 + stillbirth*B2/(1000-stillbirth))/(1-abortion)</f>
        <v>82129.421516026719</v>
      </c>
      <c r="I2" s="108">
        <f t="shared" ref="I2:I40" si="2">G2-H2</f>
        <v>1421870.5784839732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71344.468800000017</v>
      </c>
      <c r="C3" s="107">
        <v>195000</v>
      </c>
      <c r="D3" s="107">
        <v>412000</v>
      </c>
      <c r="E3" s="107">
        <v>537000</v>
      </c>
      <c r="F3" s="107">
        <v>374000</v>
      </c>
      <c r="G3" s="108">
        <f t="shared" si="0"/>
        <v>1518000</v>
      </c>
      <c r="H3" s="108">
        <f t="shared" si="1"/>
        <v>81434.520155370759</v>
      </c>
      <c r="I3" s="108">
        <f t="shared" si="2"/>
        <v>1436565.4798446293</v>
      </c>
    </row>
    <row r="4" spans="1:9" ht="15.75" customHeight="1" x14ac:dyDescent="0.25">
      <c r="A4" s="7">
        <f t="shared" si="3"/>
        <v>2023</v>
      </c>
      <c r="B4" s="43">
        <v>70727.925600000002</v>
      </c>
      <c r="C4" s="107">
        <v>192000</v>
      </c>
      <c r="D4" s="107">
        <v>407000</v>
      </c>
      <c r="E4" s="107">
        <v>550000</v>
      </c>
      <c r="F4" s="107">
        <v>387000</v>
      </c>
      <c r="G4" s="108">
        <f t="shared" si="0"/>
        <v>1536000</v>
      </c>
      <c r="H4" s="108">
        <f t="shared" si="1"/>
        <v>80730.78095187615</v>
      </c>
      <c r="I4" s="108">
        <f t="shared" si="2"/>
        <v>1455269.2190481238</v>
      </c>
    </row>
    <row r="5" spans="1:9" ht="15.75" customHeight="1" x14ac:dyDescent="0.25">
      <c r="A5" s="7">
        <f t="shared" si="3"/>
        <v>2024</v>
      </c>
      <c r="B5" s="43">
        <v>70114.04800000001</v>
      </c>
      <c r="C5" s="107">
        <v>188000</v>
      </c>
      <c r="D5" s="107">
        <v>403000</v>
      </c>
      <c r="E5" s="107">
        <v>563000</v>
      </c>
      <c r="F5" s="107">
        <v>398000</v>
      </c>
      <c r="G5" s="108">
        <f t="shared" si="0"/>
        <v>1552000</v>
      </c>
      <c r="H5" s="108">
        <f t="shared" si="1"/>
        <v>80030.084336834145</v>
      </c>
      <c r="I5" s="108">
        <f t="shared" si="2"/>
        <v>1471969.915663166</v>
      </c>
    </row>
    <row r="6" spans="1:9" ht="15.75" customHeight="1" x14ac:dyDescent="0.25">
      <c r="A6" s="7">
        <f t="shared" si="3"/>
        <v>2025</v>
      </c>
      <c r="B6" s="43">
        <v>69492.618000000002</v>
      </c>
      <c r="C6" s="107">
        <v>185000</v>
      </c>
      <c r="D6" s="107">
        <v>398000</v>
      </c>
      <c r="E6" s="107">
        <v>578000</v>
      </c>
      <c r="F6" s="107">
        <v>410000</v>
      </c>
      <c r="G6" s="108">
        <f t="shared" si="0"/>
        <v>1571000</v>
      </c>
      <c r="H6" s="108">
        <f t="shared" si="1"/>
        <v>79320.767206700111</v>
      </c>
      <c r="I6" s="108">
        <f t="shared" si="2"/>
        <v>1491679.2327932999</v>
      </c>
    </row>
    <row r="7" spans="1:9" ht="15.75" customHeight="1" x14ac:dyDescent="0.25">
      <c r="A7" s="7">
        <f t="shared" si="3"/>
        <v>2026</v>
      </c>
      <c r="B7" s="43">
        <v>68805.5478</v>
      </c>
      <c r="C7" s="107">
        <v>183000</v>
      </c>
      <c r="D7" s="107">
        <v>395000</v>
      </c>
      <c r="E7" s="107">
        <v>594000</v>
      </c>
      <c r="F7" s="107">
        <v>422000</v>
      </c>
      <c r="G7" s="108">
        <f t="shared" si="0"/>
        <v>1594000</v>
      </c>
      <c r="H7" s="108">
        <f t="shared" si="1"/>
        <v>78536.526564206826</v>
      </c>
      <c r="I7" s="108">
        <f t="shared" si="2"/>
        <v>1515463.4734357931</v>
      </c>
    </row>
    <row r="8" spans="1:9" ht="15.75" customHeight="1" x14ac:dyDescent="0.25">
      <c r="A8" s="7">
        <f t="shared" si="3"/>
        <v>2027</v>
      </c>
      <c r="B8" s="43">
        <v>68111.744000000006</v>
      </c>
      <c r="C8" s="107">
        <v>181000</v>
      </c>
      <c r="D8" s="107">
        <v>390000</v>
      </c>
      <c r="E8" s="107">
        <v>610000</v>
      </c>
      <c r="F8" s="107">
        <v>434000</v>
      </c>
      <c r="G8" s="108">
        <f t="shared" si="0"/>
        <v>1615000</v>
      </c>
      <c r="H8" s="108">
        <f t="shared" si="1"/>
        <v>77744.600007246147</v>
      </c>
      <c r="I8" s="108">
        <f t="shared" si="2"/>
        <v>1537255.3999927538</v>
      </c>
    </row>
    <row r="9" spans="1:9" ht="15.75" customHeight="1" x14ac:dyDescent="0.25">
      <c r="A9" s="7">
        <f t="shared" si="3"/>
        <v>2028</v>
      </c>
      <c r="B9" s="43">
        <v>67401.325799999991</v>
      </c>
      <c r="C9" s="107">
        <v>180000</v>
      </c>
      <c r="D9" s="107">
        <v>385000</v>
      </c>
      <c r="E9" s="107">
        <v>627000</v>
      </c>
      <c r="F9" s="107">
        <v>446000</v>
      </c>
      <c r="G9" s="108">
        <f t="shared" si="0"/>
        <v>1638000</v>
      </c>
      <c r="H9" s="108">
        <f t="shared" si="1"/>
        <v>76933.709321539005</v>
      </c>
      <c r="I9" s="108">
        <f t="shared" si="2"/>
        <v>1561066.2906784611</v>
      </c>
    </row>
    <row r="10" spans="1:9" ht="15.75" customHeight="1" x14ac:dyDescent="0.25">
      <c r="A10" s="7">
        <f t="shared" si="3"/>
        <v>2029</v>
      </c>
      <c r="B10" s="43">
        <v>66684.623599999992</v>
      </c>
      <c r="C10" s="107">
        <v>179000</v>
      </c>
      <c r="D10" s="107">
        <v>381000</v>
      </c>
      <c r="E10" s="107">
        <v>646000</v>
      </c>
      <c r="F10" s="107">
        <v>458000</v>
      </c>
      <c r="G10" s="108">
        <f t="shared" si="0"/>
        <v>1664000</v>
      </c>
      <c r="H10" s="108">
        <f t="shared" si="1"/>
        <v>76115.645907051876</v>
      </c>
      <c r="I10" s="108">
        <f t="shared" si="2"/>
        <v>1587884.3540929481</v>
      </c>
    </row>
    <row r="11" spans="1:9" ht="15.75" customHeight="1" x14ac:dyDescent="0.25">
      <c r="A11" s="7">
        <f t="shared" si="3"/>
        <v>2030</v>
      </c>
      <c r="B11" s="43">
        <v>65961.805999999997</v>
      </c>
      <c r="C11" s="107">
        <v>178000</v>
      </c>
      <c r="D11" s="107">
        <v>376000</v>
      </c>
      <c r="E11" s="107">
        <v>664000</v>
      </c>
      <c r="F11" s="107">
        <v>470000</v>
      </c>
      <c r="G11" s="108">
        <f t="shared" si="0"/>
        <v>1688000</v>
      </c>
      <c r="H11" s="108">
        <f t="shared" si="1"/>
        <v>75290.602208417506</v>
      </c>
      <c r="I11" s="108">
        <f t="shared" si="2"/>
        <v>1612709.3977915824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0</v>
      </c>
    </row>
    <row r="4" spans="1:8" ht="15.75" customHeight="1" x14ac:dyDescent="0.25">
      <c r="B4" s="13" t="s">
        <v>69</v>
      </c>
      <c r="C4" s="44">
        <v>2.170178993706506E-2</v>
      </c>
    </row>
    <row r="5" spans="1:8" ht="15.75" customHeight="1" x14ac:dyDescent="0.25">
      <c r="B5" s="13" t="s">
        <v>70</v>
      </c>
      <c r="C5" s="44">
        <v>2.1532519781305159E-2</v>
      </c>
    </row>
    <row r="6" spans="1:8" ht="15.75" customHeight="1" x14ac:dyDescent="0.25">
      <c r="B6" s="13" t="s">
        <v>71</v>
      </c>
      <c r="C6" s="44">
        <v>0.14348193619194979</v>
      </c>
    </row>
    <row r="7" spans="1:8" ht="15.75" customHeight="1" x14ac:dyDescent="0.25">
      <c r="B7" s="13" t="s">
        <v>72</v>
      </c>
      <c r="C7" s="44">
        <v>0.62594716150803986</v>
      </c>
    </row>
    <row r="8" spans="1:8" ht="15.75" customHeight="1" x14ac:dyDescent="0.25">
      <c r="B8" s="13" t="s">
        <v>73</v>
      </c>
      <c r="C8" s="44">
        <v>0</v>
      </c>
    </row>
    <row r="9" spans="1:8" ht="15.75" customHeight="1" x14ac:dyDescent="0.25">
      <c r="B9" s="13" t="s">
        <v>74</v>
      </c>
      <c r="C9" s="44">
        <v>0.14787139236989</v>
      </c>
    </row>
    <row r="10" spans="1:8" ht="15.75" customHeight="1" x14ac:dyDescent="0.25">
      <c r="B10" s="13" t="s">
        <v>75</v>
      </c>
      <c r="C10" s="44">
        <v>3.9465200211750297E-2</v>
      </c>
    </row>
    <row r="11" spans="1:8" ht="15.75" customHeight="1" x14ac:dyDescent="0.25">
      <c r="B11" s="18" t="s">
        <v>30</v>
      </c>
      <c r="C11" s="41">
        <f>SUM(C3:C10)</f>
        <v>1.0000000000000002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2.7967309814960878E-3</v>
      </c>
      <c r="D14" s="44">
        <v>2.7967309814960878E-3</v>
      </c>
      <c r="E14" s="44">
        <v>2.7967309814960878E-3</v>
      </c>
      <c r="F14" s="44">
        <v>2.7967309814960878E-3</v>
      </c>
    </row>
    <row r="15" spans="1:8" ht="15.75" customHeight="1" x14ac:dyDescent="0.25">
      <c r="B15" s="13" t="s">
        <v>82</v>
      </c>
      <c r="C15" s="44">
        <v>6.2804863381864945E-2</v>
      </c>
      <c r="D15" s="44">
        <v>6.2804863381864945E-2</v>
      </c>
      <c r="E15" s="44">
        <v>6.2804863381864945E-2</v>
      </c>
      <c r="F15" s="44">
        <v>6.2804863381864945E-2</v>
      </c>
    </row>
    <row r="16" spans="1:8" ht="15.75" customHeight="1" x14ac:dyDescent="0.25">
      <c r="B16" s="13" t="s">
        <v>83</v>
      </c>
      <c r="C16" s="44">
        <v>3.4225393373684777E-2</v>
      </c>
      <c r="D16" s="44">
        <v>3.4225393373684777E-2</v>
      </c>
      <c r="E16" s="44">
        <v>3.4225393373684777E-2</v>
      </c>
      <c r="F16" s="44">
        <v>3.4225393373684777E-2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0</v>
      </c>
      <c r="D19" s="44">
        <v>0</v>
      </c>
      <c r="E19" s="44">
        <v>0</v>
      </c>
      <c r="F19" s="44">
        <v>0</v>
      </c>
    </row>
    <row r="20" spans="1:8" ht="15.75" customHeight="1" x14ac:dyDescent="0.25">
      <c r="B20" s="13" t="s">
        <v>87</v>
      </c>
      <c r="C20" s="44">
        <v>0</v>
      </c>
      <c r="D20" s="44">
        <v>0</v>
      </c>
      <c r="E20" s="44">
        <v>0</v>
      </c>
      <c r="F20" s="44">
        <v>0</v>
      </c>
    </row>
    <row r="21" spans="1:8" ht="15.75" customHeight="1" x14ac:dyDescent="0.25">
      <c r="B21" s="13" t="s">
        <v>88</v>
      </c>
      <c r="C21" s="44">
        <v>9.9520572363490642E-2</v>
      </c>
      <c r="D21" s="44">
        <v>9.9520572363490642E-2</v>
      </c>
      <c r="E21" s="44">
        <v>9.9520572363490642E-2</v>
      </c>
      <c r="F21" s="44">
        <v>9.9520572363490642E-2</v>
      </c>
    </row>
    <row r="22" spans="1:8" ht="15.75" customHeight="1" x14ac:dyDescent="0.25">
      <c r="B22" s="13" t="s">
        <v>89</v>
      </c>
      <c r="C22" s="44">
        <v>0.80065243989946355</v>
      </c>
      <c r="D22" s="44">
        <v>0.80065243989946355</v>
      </c>
      <c r="E22" s="44">
        <v>0.80065243989946355</v>
      </c>
      <c r="F22" s="44">
        <v>0.80065243989946355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7.6356962E-2</v>
      </c>
    </row>
    <row r="27" spans="1:8" ht="15.75" customHeight="1" x14ac:dyDescent="0.25">
      <c r="B27" s="13" t="s">
        <v>92</v>
      </c>
      <c r="C27" s="44">
        <v>4.6857983999999978E-2</v>
      </c>
    </row>
    <row r="28" spans="1:8" ht="15.75" customHeight="1" x14ac:dyDescent="0.25">
      <c r="B28" s="13" t="s">
        <v>93</v>
      </c>
      <c r="C28" s="44">
        <v>8.0995853000000007E-2</v>
      </c>
    </row>
    <row r="29" spans="1:8" ht="15.75" customHeight="1" x14ac:dyDescent="0.25">
      <c r="B29" s="13" t="s">
        <v>94</v>
      </c>
      <c r="C29" s="44">
        <v>0.17572802300000001</v>
      </c>
    </row>
    <row r="30" spans="1:8" ht="15.75" customHeight="1" x14ac:dyDescent="0.25">
      <c r="B30" s="13" t="s">
        <v>95</v>
      </c>
      <c r="C30" s="44">
        <v>0.102999484</v>
      </c>
    </row>
    <row r="31" spans="1:8" ht="15.75" customHeight="1" x14ac:dyDescent="0.25">
      <c r="B31" s="13" t="s">
        <v>96</v>
      </c>
      <c r="C31" s="44">
        <v>3.8216664999999997E-2</v>
      </c>
    </row>
    <row r="32" spans="1:8" ht="15.75" customHeight="1" x14ac:dyDescent="0.25">
      <c r="B32" s="13" t="s">
        <v>97</v>
      </c>
      <c r="C32" s="44">
        <v>0.17722406800000001</v>
      </c>
    </row>
    <row r="33" spans="2:3" ht="15.75" customHeight="1" x14ac:dyDescent="0.25">
      <c r="B33" s="13" t="s">
        <v>98</v>
      </c>
      <c r="C33" s="44">
        <v>0.162579839</v>
      </c>
    </row>
    <row r="34" spans="2:3" ht="15.75" customHeight="1" x14ac:dyDescent="0.25">
      <c r="B34" s="13" t="s">
        <v>99</v>
      </c>
      <c r="C34" s="44">
        <v>0.13904112199999999</v>
      </c>
    </row>
    <row r="35" spans="2:3" ht="15.75" customHeight="1" x14ac:dyDescent="0.25">
      <c r="B35" s="18" t="s">
        <v>30</v>
      </c>
      <c r="C35" s="41">
        <f>SUM(C26:C34)</f>
        <v>0.99999999999999989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0.59390721904648225</v>
      </c>
      <c r="D2" s="109">
        <f>IFERROR(1-_xlfn.NORM.DIST(_xlfn.NORM.INV(SUM(D4:D5), 0, 1) + 1, 0, 1, TRUE), "")</f>
        <v>0.59390721904648225</v>
      </c>
      <c r="E2" s="109">
        <f>IFERROR(1-_xlfn.NORM.DIST(_xlfn.NORM.INV(SUM(E4:E5), 0, 1) + 1, 0, 1, TRUE), "")</f>
        <v>0.74371725609443617</v>
      </c>
      <c r="F2" s="109">
        <f>IFERROR(1-_xlfn.NORM.DIST(_xlfn.NORM.INV(SUM(F4:F5), 0, 1) + 1, 0, 1, TRUE), "")</f>
        <v>0.77886570805229272</v>
      </c>
      <c r="G2" s="109">
        <f>IFERROR(1-_xlfn.NORM.DIST(_xlfn.NORM.INV(SUM(G4:G5), 0, 1) + 1, 0, 1, TRUE), "")</f>
        <v>0.728895300839841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0.29816195795351769</v>
      </c>
      <c r="D3" s="109">
        <f>IFERROR(_xlfn.NORM.DIST(_xlfn.NORM.INV(SUM(D4:D5), 0, 1) + 1, 0, 1, TRUE) - SUM(D4:D5), "")</f>
        <v>0.29816195795351769</v>
      </c>
      <c r="E3" s="109">
        <f>IFERROR(_xlfn.NORM.DIST(_xlfn.NORM.INV(SUM(E4:E5), 0, 1) + 1, 0, 1, TRUE) - SUM(E4:E5), "")</f>
        <v>0.20730509790556384</v>
      </c>
      <c r="F3" s="109">
        <f>IFERROR(_xlfn.NORM.DIST(_xlfn.NORM.INV(SUM(F4:F5), 0, 1) + 1, 0, 1, TRUE) - SUM(F4:F5), "")</f>
        <v>0.18263459094770729</v>
      </c>
      <c r="G3" s="109">
        <f>IFERROR(_xlfn.NORM.DIST(_xlfn.NORM.INV(SUM(G4:G5), 0, 1) + 1, 0, 1, TRUE) - SUM(G4:G5), "")</f>
        <v>0.21734848016015901</v>
      </c>
    </row>
    <row r="4" spans="1:15" ht="15.75" customHeight="1" x14ac:dyDescent="0.25">
      <c r="B4" s="7" t="s">
        <v>104</v>
      </c>
      <c r="C4" s="110">
        <v>7.0136743000000001E-2</v>
      </c>
      <c r="D4" s="110">
        <v>7.0136743000000001E-2</v>
      </c>
      <c r="E4" s="110">
        <v>3.4336752999999998E-2</v>
      </c>
      <c r="F4" s="110">
        <v>2.6632337999999998E-2</v>
      </c>
      <c r="G4" s="110">
        <v>3.4629366000000002E-2</v>
      </c>
    </row>
    <row r="5" spans="1:15" ht="15.75" customHeight="1" x14ac:dyDescent="0.25">
      <c r="B5" s="7" t="s">
        <v>105</v>
      </c>
      <c r="C5" s="110">
        <v>3.7794080000000001E-2</v>
      </c>
      <c r="D5" s="110">
        <v>3.7794080000000001E-2</v>
      </c>
      <c r="E5" s="110">
        <v>1.4640893E-2</v>
      </c>
      <c r="F5" s="110">
        <v>1.1867363000000001E-2</v>
      </c>
      <c r="G5" s="110">
        <v>1.9126852999999999E-2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0.68723637049494946</v>
      </c>
      <c r="D8" s="109">
        <f>IFERROR(1-_xlfn.NORM.DIST(_xlfn.NORM.INV(SUM(D10:D11), 0, 1) + 1, 0, 1, TRUE), "")</f>
        <v>0.68723637049494946</v>
      </c>
      <c r="E8" s="109">
        <f>IFERROR(1-_xlfn.NORM.DIST(_xlfn.NORM.INV(SUM(E10:E11), 0, 1) + 1, 0, 1, TRUE), "")</f>
        <v>0.77701474274187576</v>
      </c>
      <c r="F8" s="109">
        <f>IFERROR(1-_xlfn.NORM.DIST(_xlfn.NORM.INV(SUM(F10:F11), 0, 1) + 1, 0, 1, TRUE), "")</f>
        <v>0.91366348272529574</v>
      </c>
      <c r="G8" s="109">
        <f>IFERROR(1-_xlfn.NORM.DIST(_xlfn.NORM.INV(SUM(G10:G11), 0, 1) + 1, 0, 1, TRUE), "")</f>
        <v>0.83498135240451932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0.24439238650505055</v>
      </c>
      <c r="D9" s="109">
        <f>IFERROR(_xlfn.NORM.DIST(_xlfn.NORM.INV(SUM(D10:D11), 0, 1) + 1, 0, 1, TRUE) - SUM(D10:D11), "")</f>
        <v>0.24439238650505055</v>
      </c>
      <c r="E9" s="109">
        <f>IFERROR(_xlfn.NORM.DIST(_xlfn.NORM.INV(SUM(E10:E11), 0, 1) + 1, 0, 1, TRUE) - SUM(E10:E11), "")</f>
        <v>0.18396327425812425</v>
      </c>
      <c r="F9" s="109">
        <f>IFERROR(_xlfn.NORM.DIST(_xlfn.NORM.INV(SUM(F10:F11), 0, 1) + 1, 0, 1, TRUE) - SUM(F10:F11), "")</f>
        <v>7.7288933074704261E-2</v>
      </c>
      <c r="G9" s="109">
        <f>IFERROR(_xlfn.NORM.DIST(_xlfn.NORM.INV(SUM(G10:G11), 0, 1) + 1, 0, 1, TRUE) - SUM(G10:G11), "")</f>
        <v>0.14082997959548066</v>
      </c>
    </row>
    <row r="10" spans="1:15" ht="15.75" customHeight="1" x14ac:dyDescent="0.25">
      <c r="B10" s="7" t="s">
        <v>109</v>
      </c>
      <c r="C10" s="110">
        <v>6.8371242999999998E-2</v>
      </c>
      <c r="D10" s="110">
        <v>6.8371242999999998E-2</v>
      </c>
      <c r="E10" s="110">
        <v>2.5490789E-2</v>
      </c>
      <c r="F10" s="110">
        <v>2.9429670999999999E-3</v>
      </c>
      <c r="G10" s="110">
        <v>2.0174695999999999E-2</v>
      </c>
    </row>
    <row r="11" spans="1:15" ht="15.75" customHeight="1" x14ac:dyDescent="0.25">
      <c r="B11" s="7" t="s">
        <v>110</v>
      </c>
      <c r="C11" s="110">
        <v>0</v>
      </c>
      <c r="D11" s="110">
        <v>0</v>
      </c>
      <c r="E11" s="110">
        <v>1.3531194E-2</v>
      </c>
      <c r="F11" s="110">
        <v>6.1046171000000002E-3</v>
      </c>
      <c r="G11" s="110">
        <v>4.0139720000000002E-3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0.40326360550000012</v>
      </c>
      <c r="D14" s="112">
        <v>0.41716673795999992</v>
      </c>
      <c r="E14" s="112">
        <v>0.41716673795999992</v>
      </c>
      <c r="F14" s="112">
        <v>0.180481621654</v>
      </c>
      <c r="G14" s="112">
        <v>0.180481621654</v>
      </c>
      <c r="H14" s="113">
        <v>0.28399999999999997</v>
      </c>
      <c r="I14" s="113">
        <v>0.28399999999999997</v>
      </c>
      <c r="J14" s="113">
        <v>0.28399999999999997</v>
      </c>
      <c r="K14" s="113">
        <v>0.28399999999999997</v>
      </c>
      <c r="L14" s="113">
        <v>0.27200000000000002</v>
      </c>
      <c r="M14" s="113">
        <v>0.27200000000000002</v>
      </c>
      <c r="N14" s="113">
        <v>0.27200000000000002</v>
      </c>
      <c r="O14" s="113">
        <v>0.27200000000000002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0.25129371576732507</v>
      </c>
      <c r="D15" s="109">
        <f t="shared" si="0"/>
        <v>0.25995745275977394</v>
      </c>
      <c r="E15" s="109">
        <f t="shared" si="0"/>
        <v>0.25995745275977394</v>
      </c>
      <c r="F15" s="109">
        <f t="shared" si="0"/>
        <v>0.11246712253369009</v>
      </c>
      <c r="G15" s="109">
        <f t="shared" si="0"/>
        <v>0.11246712253369009</v>
      </c>
      <c r="H15" s="109">
        <f t="shared" si="0"/>
        <v>0.17697459999999998</v>
      </c>
      <c r="I15" s="109">
        <f t="shared" si="0"/>
        <v>0.17697459999999998</v>
      </c>
      <c r="J15" s="109">
        <f t="shared" si="0"/>
        <v>0.17697459999999998</v>
      </c>
      <c r="K15" s="109">
        <f t="shared" si="0"/>
        <v>0.17697459999999998</v>
      </c>
      <c r="L15" s="109">
        <f t="shared" si="0"/>
        <v>0.1694968</v>
      </c>
      <c r="M15" s="109">
        <f t="shared" si="0"/>
        <v>0.1694968</v>
      </c>
      <c r="N15" s="109">
        <f t="shared" si="0"/>
        <v>0.1694968</v>
      </c>
      <c r="O15" s="109">
        <f t="shared" si="0"/>
        <v>0.1694968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0.57374923709999992</v>
      </c>
      <c r="D2" s="110">
        <v>0.21961842000000001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0.32482139999999998</v>
      </c>
      <c r="D3" s="110">
        <v>0.29721885999999997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5.2271561999999987E-2</v>
      </c>
      <c r="D4" s="110">
        <v>0.18033508000000001</v>
      </c>
      <c r="E4" s="110">
        <v>0.56077891588211104</v>
      </c>
      <c r="F4" s="110">
        <v>0.14643003046512601</v>
      </c>
      <c r="G4" s="110">
        <v>0</v>
      </c>
    </row>
    <row r="5" spans="1:7" x14ac:dyDescent="0.25">
      <c r="B5" s="83" t="s">
        <v>122</v>
      </c>
      <c r="C5" s="109">
        <v>4.9157795910000003E-2</v>
      </c>
      <c r="D5" s="109">
        <v>0.30282763000000001</v>
      </c>
      <c r="E5" s="109">
        <f>1-SUM(E2:E4)</f>
        <v>0.43922108411788896</v>
      </c>
      <c r="F5" s="109">
        <f>1-SUM(F2:F4)</f>
        <v>0.85356996953487396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2022-02-27T23:09:39Z</dcterms:modified>
</cp:coreProperties>
</file>