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LB\"/>
    </mc:Choice>
  </mc:AlternateContent>
  <xr:revisionPtr revIDLastSave="0" documentId="8_{00105267-6C7E-4542-B032-B340C81CD169}" xr6:coauthVersionLast="45" xr6:coauthVersionMax="45" xr10:uidLastSave="{00000000-0000-0000-0000-000000000000}"/>
  <bookViews>
    <workbookView xWindow="1920" yWindow="1920" windowWidth="13824" windowHeight="7176" tabRatio="835" firstSheet="13" activeTab="2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/>
  <c r="F12" i="21"/>
  <c r="E12" i="21"/>
  <c r="D12" i="21"/>
  <c r="C12" i="21"/>
  <c r="F8" i="21"/>
  <c r="E8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E51" i="72" l="1"/>
  <c r="F51" i="72"/>
  <c r="G51" i="72"/>
  <c r="H51" i="72"/>
  <c r="D51" i="72"/>
  <c r="D53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4" i="72"/>
  <c r="H14" i="72"/>
  <c r="G16" i="72"/>
  <c r="H16" i="72"/>
  <c r="F16" i="72"/>
  <c r="F14" i="72"/>
  <c r="G4" i="72"/>
  <c r="H4" i="72"/>
  <c r="F4" i="72"/>
  <c r="G3" i="72"/>
  <c r="H3" i="72"/>
  <c r="F3" i="72"/>
  <c r="E5" i="71"/>
  <c r="F5" i="71"/>
  <c r="G5" i="71"/>
  <c r="D5" i="71"/>
  <c r="E3" i="71"/>
  <c r="F3" i="71"/>
  <c r="G3" i="71"/>
  <c r="D3" i="71"/>
  <c r="G32" i="65"/>
  <c r="G31" i="65"/>
  <c r="F29" i="65"/>
  <c r="F28" i="65"/>
  <c r="E17" i="65"/>
  <c r="F17" i="65"/>
  <c r="G17" i="65"/>
  <c r="D17" i="65"/>
  <c r="G15" i="65"/>
  <c r="G14" i="65"/>
  <c r="F12" i="65"/>
  <c r="F11" i="65"/>
  <c r="E9" i="65"/>
  <c r="E8" i="65"/>
  <c r="D6" i="65"/>
  <c r="D5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D11" i="68"/>
  <c r="C11" i="68"/>
  <c r="E7" i="68"/>
  <c r="F7" i="68"/>
  <c r="F6" i="68"/>
  <c r="E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16" i="2" s="1"/>
  <c r="A29" i="2"/>
  <c r="A40" i="2"/>
  <c r="A36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G22" i="2"/>
  <c r="H22" i="2"/>
  <c r="I22" i="2" s="1"/>
  <c r="G23" i="2"/>
  <c r="H23" i="2"/>
  <c r="I23" i="2" s="1"/>
  <c r="G24" i="2"/>
  <c r="H24" i="2"/>
  <c r="I24" i="2" s="1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/>
  <c r="G30" i="2"/>
  <c r="H30" i="2"/>
  <c r="I30" i="2" s="1"/>
  <c r="G31" i="2"/>
  <c r="H31" i="2"/>
  <c r="I31" i="2"/>
  <c r="G32" i="2"/>
  <c r="H32" i="2"/>
  <c r="I32" i="2"/>
  <c r="G33" i="2"/>
  <c r="H33" i="2"/>
  <c r="I33" i="2" s="1"/>
  <c r="G34" i="2"/>
  <c r="H34" i="2"/>
  <c r="I34" i="2" s="1"/>
  <c r="G35" i="2"/>
  <c r="H35" i="2"/>
  <c r="I35" i="2" s="1"/>
  <c r="G36" i="2"/>
  <c r="H36" i="2"/>
  <c r="I36" i="2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21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I6" i="2" s="1"/>
  <c r="H7" i="2"/>
  <c r="H8" i="2"/>
  <c r="H9" i="2"/>
  <c r="H10" i="2"/>
  <c r="H11" i="2"/>
  <c r="H12" i="2"/>
  <c r="H13" i="2"/>
  <c r="H14" i="2"/>
  <c r="I14" i="2" s="1"/>
  <c r="H15" i="2"/>
  <c r="I15" i="2" s="1"/>
  <c r="C20" i="1"/>
  <c r="G3" i="2"/>
  <c r="G4" i="2"/>
  <c r="G5" i="2"/>
  <c r="G6" i="2"/>
  <c r="G7" i="2"/>
  <c r="G8" i="2"/>
  <c r="I8" i="2"/>
  <c r="G9" i="2"/>
  <c r="I9" i="2" s="1"/>
  <c r="G10" i="2"/>
  <c r="G11" i="2"/>
  <c r="G12" i="2"/>
  <c r="I12" i="2" s="1"/>
  <c r="G13" i="2"/>
  <c r="I13" i="2" s="1"/>
  <c r="G14" i="2"/>
  <c r="G15" i="2"/>
  <c r="G2" i="2"/>
  <c r="I17" i="2"/>
  <c r="A17" i="2"/>
  <c r="A33" i="2"/>
  <c r="A26" i="2"/>
  <c r="A23" i="2"/>
  <c r="A37" i="2"/>
  <c r="A14" i="2"/>
  <c r="A15" i="2"/>
  <c r="I19" i="2" l="1"/>
  <c r="I4" i="2"/>
  <c r="I10" i="2"/>
  <c r="I5" i="2"/>
  <c r="I11" i="2"/>
  <c r="I3" i="2"/>
  <c r="A34" i="2"/>
  <c r="I20" i="2"/>
  <c r="I2" i="2"/>
  <c r="I7" i="2"/>
  <c r="A38" i="2"/>
  <c r="A39" i="2"/>
  <c r="A19" i="2"/>
  <c r="A24" i="2"/>
  <c r="A18" i="2"/>
  <c r="A13" i="2"/>
  <c r="A30" i="2"/>
  <c r="A25" i="2"/>
  <c r="A27" i="2"/>
  <c r="A3" i="2"/>
  <c r="A4" i="2" s="1"/>
  <c r="A5" i="2" s="1"/>
  <c r="A6" i="2" s="1"/>
  <c r="A7" i="2" s="1"/>
  <c r="A8" i="2" s="1"/>
  <c r="A9" i="2" s="1"/>
  <c r="A10" i="2" s="1"/>
  <c r="A11" i="2" s="1"/>
  <c r="A12" i="2" s="1"/>
  <c r="A21" i="2"/>
  <c r="A28" i="2"/>
  <c r="A31" i="2"/>
  <c r="A22" i="2"/>
  <c r="A32" i="2"/>
  <c r="A35" i="2"/>
  <c r="A2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C16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PNG DHS 2006
page 3
</t>
        </r>
        <r>
          <rPr>
            <b/>
            <sz val="9"/>
            <color indexed="81"/>
            <rFont val="Tahoma"/>
            <family val="2"/>
          </rPr>
          <t xml:space="preserve">Value: </t>
        </r>
        <r>
          <rPr>
            <sz val="9"/>
            <color indexed="81"/>
            <rFont val="Tahoma"/>
            <family val="2"/>
          </rPr>
          <t>"The traditional economy through subsistence farming supports about 80 percent of the population"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Optima team</author>
  </authors>
  <commentList>
    <comment ref="B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Source: </t>
        </r>
        <r>
          <rPr>
            <sz val="9"/>
            <color indexed="81"/>
            <rFont val="Tahoma"/>
            <family val="2"/>
          </rPr>
          <t xml:space="preserve">WPP 2017
</t>
        </r>
        <r>
          <rPr>
            <b/>
            <sz val="9"/>
            <color indexed="81"/>
            <rFont val="Tahoma"/>
            <family val="2"/>
          </rPr>
          <t xml:space="preserve">Value (interpolated from the following values) and divided by 5: 
</t>
        </r>
        <r>
          <rPr>
            <sz val="9"/>
            <color indexed="81"/>
            <rFont val="Tahoma"/>
            <family val="2"/>
          </rPr>
          <t>2015-2020: 1132000
2020-2025: 1184000
2025-2030: 1231000
2030-2035: 1271000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5245C6E-964B-4538-9C3C-F596F476AA8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72223153-D044-4C54-A873-BDDBF10FB79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78224B46-0E78-45FC-A23D-A1318BB1557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23C36E56-A122-4A52-94FE-D700D1D0F22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5593219-B272-4F4F-B7B2-A92C67664F9E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5" authorId="0" shapeId="0" xr:uid="{26715B17-03D1-4F6B-B580-A3BEC30F57BC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  <comment ref="D7" authorId="0" shapeId="0" xr:uid="{972B422E-0F1A-4C2B-87B6-8C8B3BE9770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Lower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<sst xmlns="http://schemas.openxmlformats.org/spreadsheetml/2006/main" count="1120" uniqueCount="273">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</sst>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2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167" fontId="4" fillId="2" borderId="1" xfId="725" applyNumberFormat="1" applyFill="1" applyBorder="1" applyAlignment="1" applyProtection="1">
      <alignment horizontal="right" vertical="center"/>
      <protection locked="0"/>
    </xf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0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373246</v>
      </c>
    </row>
    <row r="8" spans="1:3" ht="15" customHeight="1" x14ac:dyDescent="0.25">
      <c r="B8" s="7" t="s">
        <v>106</v>
      </c>
      <c r="C8" s="70">
        <v>5.0000000000000001E-3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0.92928009033203096</v>
      </c>
    </row>
    <row r="11" spans="1:3" ht="15" customHeight="1" x14ac:dyDescent="0.25">
      <c r="B11" s="7" t="s">
        <v>108</v>
      </c>
      <c r="C11" s="70">
        <v>0.93900000000000006</v>
      </c>
    </row>
    <row r="12" spans="1:3" ht="15" customHeight="1" x14ac:dyDescent="0.25">
      <c r="B12" s="7" t="s">
        <v>109</v>
      </c>
      <c r="C12" s="70">
        <v>0.89700000000000002</v>
      </c>
    </row>
    <row r="13" spans="1:3" ht="15" customHeight="1" x14ac:dyDescent="0.25">
      <c r="B13" s="7" t="s">
        <v>110</v>
      </c>
      <c r="C13" s="70">
        <v>0.74900000000000011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5.9699999999999996E-2</v>
      </c>
    </row>
    <row r="24" spans="1:3" ht="15" customHeight="1" x14ac:dyDescent="0.25">
      <c r="B24" s="20" t="s">
        <v>102</v>
      </c>
      <c r="C24" s="71">
        <v>0.495</v>
      </c>
    </row>
    <row r="25" spans="1:3" ht="15" customHeight="1" x14ac:dyDescent="0.25">
      <c r="B25" s="20" t="s">
        <v>103</v>
      </c>
      <c r="C25" s="71">
        <v>0.42229999999999995</v>
      </c>
    </row>
    <row r="26" spans="1:3" ht="15" customHeight="1" x14ac:dyDescent="0.25">
      <c r="B26" s="20" t="s">
        <v>104</v>
      </c>
      <c r="C26" s="71">
        <v>2.3E-2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0.35700000000000004</v>
      </c>
    </row>
    <row r="30" spans="1:3" ht="14.25" customHeight="1" x14ac:dyDescent="0.25">
      <c r="B30" s="30" t="s">
        <v>76</v>
      </c>
      <c r="C30" s="73">
        <v>6.6000000000000003E-2</v>
      </c>
    </row>
    <row r="31" spans="1:3" ht="14.25" customHeight="1" x14ac:dyDescent="0.25">
      <c r="B31" s="30" t="s">
        <v>77</v>
      </c>
      <c r="C31" s="73">
        <v>9.3000000000000013E-2</v>
      </c>
    </row>
    <row r="32" spans="1:3" ht="14.25" customHeight="1" x14ac:dyDescent="0.25">
      <c r="B32" s="30" t="s">
        <v>78</v>
      </c>
      <c r="C32" s="73">
        <v>0.48399999998509885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3.7</v>
      </c>
    </row>
    <row r="38" spans="1:5" ht="15" customHeight="1" x14ac:dyDescent="0.25">
      <c r="B38" s="16" t="s">
        <v>91</v>
      </c>
      <c r="C38" s="75">
        <v>5</v>
      </c>
      <c r="D38" s="17"/>
      <c r="E38" s="18"/>
    </row>
    <row r="39" spans="1:5" ht="15" customHeight="1" x14ac:dyDescent="0.25">
      <c r="B39" s="16" t="s">
        <v>90</v>
      </c>
      <c r="C39" s="75">
        <v>5.7</v>
      </c>
      <c r="D39" s="17"/>
      <c r="E39" s="17"/>
    </row>
    <row r="40" spans="1:5" ht="15" customHeight="1" x14ac:dyDescent="0.25">
      <c r="B40" s="16" t="s">
        <v>171</v>
      </c>
      <c r="C40" s="75">
        <v>0.17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2.1099999999999997E-2</v>
      </c>
      <c r="D45" s="17"/>
    </row>
    <row r="46" spans="1:5" ht="15.75" customHeight="1" x14ac:dyDescent="0.25">
      <c r="B46" s="16" t="s">
        <v>11</v>
      </c>
      <c r="C46" s="71">
        <v>7.4800000000000005E-2</v>
      </c>
      <c r="D46" s="17"/>
    </row>
    <row r="47" spans="1:5" ht="15.75" customHeight="1" x14ac:dyDescent="0.25">
      <c r="B47" s="16" t="s">
        <v>12</v>
      </c>
      <c r="C47" s="71">
        <v>0.1323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1.3825999874949999</v>
      </c>
      <c r="D51" s="17"/>
    </row>
    <row r="52" spans="1:4" ht="15" customHeight="1" x14ac:dyDescent="0.25">
      <c r="B52" s="16" t="s">
        <v>125</v>
      </c>
      <c r="C52" s="76">
        <v>1.3658650050299999</v>
      </c>
    </row>
    <row r="53" spans="1:4" ht="15.75" customHeight="1" x14ac:dyDescent="0.25">
      <c r="B53" s="16" t="s">
        <v>126</v>
      </c>
      <c r="C53" s="76">
        <v>1.3658650050299999</v>
      </c>
    </row>
    <row r="54" spans="1:4" ht="15.75" customHeight="1" x14ac:dyDescent="0.25">
      <c r="B54" s="16" t="s">
        <v>127</v>
      </c>
      <c r="C54" s="76">
        <v>1.2917000376900001</v>
      </c>
    </row>
    <row r="55" spans="1:4" ht="15.75" customHeight="1" x14ac:dyDescent="0.25">
      <c r="B55" s="16" t="s">
        <v>128</v>
      </c>
      <c r="C55" s="76">
        <v>1.2917000376900001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1.6202203499675955E-2</v>
      </c>
    </row>
    <row r="59" spans="1:4" ht="15.75" customHeight="1" x14ac:dyDescent="0.25">
      <c r="B59" s="16" t="s">
        <v>132</v>
      </c>
      <c r="C59" s="70">
        <v>0.55375961097419568</v>
      </c>
    </row>
    <row r="60" spans="1:4" ht="15.75" customHeight="1" x14ac:dyDescent="0.25">
      <c r="B60" s="16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AnRL2X+GD1Rsu8CkCld0KzgKJLWIjYt6/8CULdu3AOT9EovUZ5dCuaYAO11CY5zdekLGhlwmgLRfMypV80sowA==" saltValue="h/qCgYJpa0i6aZ7LqUd83w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A10" sqref="A10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1.3825999874949999</v>
      </c>
      <c r="C2" s="26">
        <f>'Baseline year population inputs'!C52</f>
        <v>1.3658650050299999</v>
      </c>
      <c r="D2" s="26">
        <f>'Baseline year population inputs'!C53</f>
        <v>1.3658650050299999</v>
      </c>
      <c r="E2" s="26">
        <f>'Baseline year population inputs'!C54</f>
        <v>1.2917000376900001</v>
      </c>
      <c r="F2" s="26">
        <f>'Baseline year population inputs'!C55</f>
        <v>1.2917000376900001</v>
      </c>
    </row>
    <row r="3" spans="1:6" ht="15.75" customHeight="1" x14ac:dyDescent="0.25">
      <c r="A3" s="3" t="s">
        <v>65</v>
      </c>
      <c r="B3" s="26">
        <f>frac_mam_1month * 2.6</f>
        <v>0.20424108041999997</v>
      </c>
      <c r="C3" s="26">
        <f>frac_mam_1_5months * 2.6</f>
        <v>0.20424108041999997</v>
      </c>
      <c r="D3" s="26">
        <f>frac_mam_6_11months * 2.6</f>
        <v>0.15369943680000001</v>
      </c>
      <c r="E3" s="26">
        <f>frac_mam_12_23months * 2.6</f>
        <v>9.1569004800000006E-3</v>
      </c>
      <c r="F3" s="26">
        <f>frac_mam_24_59months * 2.6</f>
        <v>5.1257935733333336E-2</v>
      </c>
    </row>
    <row r="4" spans="1:6" ht="15.75" customHeight="1" x14ac:dyDescent="0.25">
      <c r="A4" s="3" t="s">
        <v>66</v>
      </c>
      <c r="B4" s="26">
        <f>frac_sam_1month * 2.6</f>
        <v>1.3438823579999998E-2</v>
      </c>
      <c r="C4" s="26">
        <f>frac_sam_1_5months * 2.6</f>
        <v>1.3438823579999998E-2</v>
      </c>
      <c r="D4" s="26">
        <f>frac_sam_6_11months * 2.6</f>
        <v>3.2023191200000002E-2</v>
      </c>
      <c r="E4" s="26">
        <f>frac_sam_12_23months * 2.6</f>
        <v>1.9160544520000003E-2</v>
      </c>
      <c r="F4" s="26">
        <f>frac_sam_24_59months * 2.6</f>
        <v>3.4037153800000004E-2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zoomScale="85" zoomScaleNormal="118" workbookViewId="0">
      <selection activeCell="E10" sqref="E10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5.0000000000000001E-3</v>
      </c>
      <c r="E2" s="91">
        <f>food_insecure</f>
        <v>5.0000000000000001E-3</v>
      </c>
      <c r="F2" s="91">
        <f>food_insecure</f>
        <v>5.0000000000000001E-3</v>
      </c>
      <c r="G2" s="91">
        <f>food_insecure</f>
        <v>5.0000000000000001E-3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5.0000000000000001E-3</v>
      </c>
      <c r="F5" s="91">
        <f>food_insecure</f>
        <v>5.0000000000000001E-3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1.3825999874949999</v>
      </c>
      <c r="D7" s="91">
        <f>diarrhoea_1_5mo</f>
        <v>1.3658650050299999</v>
      </c>
      <c r="E7" s="91">
        <f>diarrhoea_6_11mo</f>
        <v>1.3658650050299999</v>
      </c>
      <c r="F7" s="91">
        <f>diarrhoea_12_23mo</f>
        <v>1.2917000376900001</v>
      </c>
      <c r="G7" s="91">
        <f>diarrhoea_24_59mo</f>
        <v>1.2917000376900001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5.0000000000000001E-3</v>
      </c>
      <c r="F8" s="91">
        <f>food_insecure</f>
        <v>5.0000000000000001E-3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v>1</v>
      </c>
      <c r="E9" s="91">
        <v>1</v>
      </c>
      <c r="F9" s="91">
        <v>1</v>
      </c>
      <c r="G9" s="91"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v>1</v>
      </c>
      <c r="E10" s="91">
        <v>1</v>
      </c>
      <c r="F10" s="91">
        <v>1</v>
      </c>
      <c r="G10" s="91"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1.3825999874949999</v>
      </c>
      <c r="D12" s="91">
        <f>diarrhoea_1_5mo</f>
        <v>1.3658650050299999</v>
      </c>
      <c r="E12" s="91">
        <f>diarrhoea_6_11mo</f>
        <v>1.3658650050299999</v>
      </c>
      <c r="F12" s="91">
        <f>diarrhoea_12_23mo</f>
        <v>1.2917000376900001</v>
      </c>
      <c r="G12" s="91">
        <f>diarrhoea_24_59mo</f>
        <v>1.2917000376900001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5.0000000000000001E-3</v>
      </c>
      <c r="I15" s="91">
        <f>food_insecure</f>
        <v>5.0000000000000001E-3</v>
      </c>
      <c r="J15" s="91">
        <f>food_insecure</f>
        <v>5.0000000000000001E-3</v>
      </c>
      <c r="K15" s="91">
        <f>food_insecure</f>
        <v>5.0000000000000001E-3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0.93900000000000006</v>
      </c>
      <c r="I18" s="91">
        <f>frac_PW_health_facility</f>
        <v>0.93900000000000006</v>
      </c>
      <c r="J18" s="91">
        <f>frac_PW_health_facility</f>
        <v>0.93900000000000006</v>
      </c>
      <c r="K18" s="91">
        <f>frac_PW_health_facility</f>
        <v>0.93900000000000006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0.74900000000000011</v>
      </c>
      <c r="M24" s="91">
        <f>famplan_unmet_need</f>
        <v>0.74900000000000011</v>
      </c>
      <c r="N24" s="91">
        <f>famplan_unmet_need</f>
        <v>0.74900000000000011</v>
      </c>
      <c r="O24" s="91">
        <f>famplan_unmet_need</f>
        <v>0.74900000000000011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3.4727011642456194E-2</v>
      </c>
      <c r="M25" s="91">
        <f>(1-food_insecure)*(0.49)+food_insecure*(0.7)</f>
        <v>0.49104999999999999</v>
      </c>
      <c r="N25" s="91">
        <f>(1-food_insecure)*(0.49)+food_insecure*(0.7)</f>
        <v>0.49104999999999999</v>
      </c>
      <c r="O25" s="91">
        <f>(1-food_insecure)*(0.49)+food_insecure*(0.7)</f>
        <v>0.49104999999999999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1.4883004989624084E-2</v>
      </c>
      <c r="M26" s="91">
        <f>(1-food_insecure)*(0.21)+food_insecure*(0.3)</f>
        <v>0.21045</v>
      </c>
      <c r="N26" s="91">
        <f>(1-food_insecure)*(0.21)+food_insecure*(0.3)</f>
        <v>0.21045</v>
      </c>
      <c r="O26" s="91">
        <f>(1-food_insecure)*(0.21)+food_insecure*(0.3)</f>
        <v>0.21045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2.1109893035888758E-2</v>
      </c>
      <c r="M27" s="91">
        <f>(1-food_insecure)*(0.3)</f>
        <v>0.29849999999999999</v>
      </c>
      <c r="N27" s="91">
        <f>(1-food_insecure)*(0.3)</f>
        <v>0.29849999999999999</v>
      </c>
      <c r="O27" s="91">
        <f>(1-food_insecure)*(0.3)</f>
        <v>0.29849999999999999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0.92928009033203096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tzyFwjW6IK7CBY6MskMbtOnOzLMshNK9om8rAtedWWQnwQmVr45LOZGj3zE8RqB8CjoKt1HGoRQ02jkpLaNypQ==" saltValue="qJFRwoIFtU7w+ZJE3Y/HA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F27" sqref="F27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Y3KOHwzughwU00r41zJc6eeLD4K0M79RX6B85UapZTV5Bd9qb36/Et//nIuITugFXWLJcQrk0CVJh6EvnZz2Sg==" saltValue="IHG88+ScXfM5gh3kEQVsGg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D15" sqref="D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72564.639999999999</v>
      </c>
      <c r="C2" s="78">
        <v>202000</v>
      </c>
      <c r="D2" s="78">
        <v>424000</v>
      </c>
      <c r="E2" s="78">
        <v>513000</v>
      </c>
      <c r="F2" s="78">
        <v>352000</v>
      </c>
      <c r="G2" s="22">
        <f t="shared" ref="G2:G40" si="0">C2+D2+E2+F2</f>
        <v>1491000</v>
      </c>
      <c r="H2" s="22">
        <f t="shared" ref="H2:H40" si="1">(B2 + stillbirth*B2/(1000-stillbirth))/(1-abortion)</f>
        <v>83911.098776567451</v>
      </c>
      <c r="I2" s="22">
        <f>G2-H2</f>
        <v>1407088.9012234325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71953.26920000001</v>
      </c>
      <c r="C3" s="78">
        <v>199000</v>
      </c>
      <c r="D3" s="78">
        <v>417000</v>
      </c>
      <c r="E3" s="78">
        <v>525000</v>
      </c>
      <c r="F3" s="78">
        <v>363000</v>
      </c>
      <c r="G3" s="22">
        <f t="shared" si="0"/>
        <v>1504000</v>
      </c>
      <c r="H3" s="22">
        <f t="shared" si="1"/>
        <v>83204.131917944469</v>
      </c>
      <c r="I3" s="22">
        <f t="shared" ref="I3:I15" si="3">G3-H3</f>
        <v>1420795.8680820556</v>
      </c>
    </row>
    <row r="4" spans="1:9" ht="15.75" customHeight="1" x14ac:dyDescent="0.25">
      <c r="A4" s="7">
        <f t="shared" si="2"/>
        <v>2022</v>
      </c>
      <c r="B4" s="77">
        <v>71344.468800000017</v>
      </c>
      <c r="C4" s="78">
        <v>195000</v>
      </c>
      <c r="D4" s="78">
        <v>412000</v>
      </c>
      <c r="E4" s="78">
        <v>537000</v>
      </c>
      <c r="F4" s="78">
        <v>374000</v>
      </c>
      <c r="G4" s="22">
        <f t="shared" si="0"/>
        <v>1518000</v>
      </c>
      <c r="H4" s="22">
        <f t="shared" si="1"/>
        <v>82500.137375980034</v>
      </c>
      <c r="I4" s="22">
        <f t="shared" si="3"/>
        <v>1435499.8626240199</v>
      </c>
    </row>
    <row r="5" spans="1:9" ht="15.75" customHeight="1" x14ac:dyDescent="0.25">
      <c r="A5" s="7">
        <f t="shared" si="2"/>
        <v>2023</v>
      </c>
      <c r="B5" s="77">
        <v>70727.925600000002</v>
      </c>
      <c r="C5" s="78">
        <v>192000</v>
      </c>
      <c r="D5" s="78">
        <v>407000</v>
      </c>
      <c r="E5" s="78">
        <v>550000</v>
      </c>
      <c r="F5" s="78">
        <v>387000</v>
      </c>
      <c r="G5" s="22">
        <f t="shared" si="0"/>
        <v>1536000</v>
      </c>
      <c r="H5" s="22">
        <f t="shared" si="1"/>
        <v>81787.189342954283</v>
      </c>
      <c r="I5" s="22">
        <f t="shared" si="3"/>
        <v>1454212.8106570458</v>
      </c>
    </row>
    <row r="6" spans="1:9" ht="15.75" customHeight="1" x14ac:dyDescent="0.25">
      <c r="A6" s="7">
        <f t="shared" si="2"/>
        <v>2024</v>
      </c>
      <c r="B6" s="77">
        <v>70114.04800000001</v>
      </c>
      <c r="C6" s="78">
        <v>188000</v>
      </c>
      <c r="D6" s="78">
        <v>403000</v>
      </c>
      <c r="E6" s="78">
        <v>563000</v>
      </c>
      <c r="F6" s="78">
        <v>398000</v>
      </c>
      <c r="G6" s="22">
        <f t="shared" si="0"/>
        <v>1552000</v>
      </c>
      <c r="H6" s="22">
        <f t="shared" si="1"/>
        <v>81077.32371238929</v>
      </c>
      <c r="I6" s="22">
        <f t="shared" si="3"/>
        <v>1470922.6762876108</v>
      </c>
    </row>
    <row r="7" spans="1:9" ht="15.75" customHeight="1" x14ac:dyDescent="0.25">
      <c r="A7" s="7">
        <f t="shared" si="2"/>
        <v>2025</v>
      </c>
      <c r="B7" s="77">
        <v>69492.618000000002</v>
      </c>
      <c r="C7" s="78">
        <v>185000</v>
      </c>
      <c r="D7" s="78">
        <v>398000</v>
      </c>
      <c r="E7" s="78">
        <v>578000</v>
      </c>
      <c r="F7" s="78">
        <v>410000</v>
      </c>
      <c r="G7" s="22">
        <f t="shared" si="0"/>
        <v>1571000</v>
      </c>
      <c r="H7" s="22">
        <f t="shared" si="1"/>
        <v>80358.724762367317</v>
      </c>
      <c r="I7" s="22">
        <f t="shared" si="3"/>
        <v>1490641.2752376327</v>
      </c>
    </row>
    <row r="8" spans="1:9" ht="15.75" customHeight="1" x14ac:dyDescent="0.25">
      <c r="A8" s="7">
        <f t="shared" si="2"/>
        <v>2026</v>
      </c>
      <c r="B8" s="77">
        <v>68805.5478</v>
      </c>
      <c r="C8" s="78">
        <v>183000</v>
      </c>
      <c r="D8" s="78">
        <v>395000</v>
      </c>
      <c r="E8" s="78">
        <v>594000</v>
      </c>
      <c r="F8" s="78">
        <v>422000</v>
      </c>
      <c r="G8" s="22">
        <f t="shared" si="0"/>
        <v>1594000</v>
      </c>
      <c r="H8" s="22">
        <f t="shared" si="1"/>
        <v>79564.22188302227</v>
      </c>
      <c r="I8" s="22">
        <f t="shared" si="3"/>
        <v>1514435.7781169778</v>
      </c>
    </row>
    <row r="9" spans="1:9" ht="15.75" customHeight="1" x14ac:dyDescent="0.25">
      <c r="A9" s="7">
        <f t="shared" si="2"/>
        <v>2027</v>
      </c>
      <c r="B9" s="77">
        <v>68111.744000000006</v>
      </c>
      <c r="C9" s="78">
        <v>181000</v>
      </c>
      <c r="D9" s="78">
        <v>390000</v>
      </c>
      <c r="E9" s="78">
        <v>610000</v>
      </c>
      <c r="F9" s="78">
        <v>434000</v>
      </c>
      <c r="G9" s="22">
        <f t="shared" si="0"/>
        <v>1615000</v>
      </c>
      <c r="H9" s="22">
        <f t="shared" si="1"/>
        <v>78761.932514628017</v>
      </c>
      <c r="I9" s="22">
        <f t="shared" si="3"/>
        <v>1536238.0674853721</v>
      </c>
    </row>
    <row r="10" spans="1:9" ht="15.75" customHeight="1" x14ac:dyDescent="0.25">
      <c r="A10" s="7">
        <f t="shared" si="2"/>
        <v>2028</v>
      </c>
      <c r="B10" s="77">
        <v>67401.325799999991</v>
      </c>
      <c r="C10" s="78">
        <v>180000</v>
      </c>
      <c r="D10" s="78">
        <v>385000</v>
      </c>
      <c r="E10" s="78">
        <v>627000</v>
      </c>
      <c r="F10" s="78">
        <v>446000</v>
      </c>
      <c r="G10" s="22">
        <f t="shared" si="0"/>
        <v>1638000</v>
      </c>
      <c r="H10" s="22">
        <f t="shared" si="1"/>
        <v>77940.430861028231</v>
      </c>
      <c r="I10" s="22">
        <f t="shared" si="3"/>
        <v>1560059.5691389719</v>
      </c>
    </row>
    <row r="11" spans="1:9" ht="15.75" customHeight="1" x14ac:dyDescent="0.25">
      <c r="A11" s="7">
        <f t="shared" si="2"/>
        <v>2029</v>
      </c>
      <c r="B11" s="77">
        <v>66684.623599999992</v>
      </c>
      <c r="C11" s="78">
        <v>179000</v>
      </c>
      <c r="D11" s="78">
        <v>381000</v>
      </c>
      <c r="E11" s="78">
        <v>646000</v>
      </c>
      <c r="F11" s="78">
        <v>458000</v>
      </c>
      <c r="G11" s="22">
        <f t="shared" si="0"/>
        <v>1664000</v>
      </c>
      <c r="H11" s="22">
        <f t="shared" si="1"/>
        <v>77111.662619394512</v>
      </c>
      <c r="I11" s="22">
        <f t="shared" si="3"/>
        <v>1586888.3373806055</v>
      </c>
    </row>
    <row r="12" spans="1:9" ht="15.75" customHeight="1" x14ac:dyDescent="0.25">
      <c r="A12" s="7">
        <f t="shared" si="2"/>
        <v>2030</v>
      </c>
      <c r="B12" s="77">
        <v>65961.805999999997</v>
      </c>
      <c r="C12" s="78">
        <v>178000</v>
      </c>
      <c r="D12" s="78">
        <v>376000</v>
      </c>
      <c r="E12" s="78">
        <v>664000</v>
      </c>
      <c r="F12" s="78">
        <v>470000</v>
      </c>
      <c r="G12" s="22">
        <f t="shared" si="0"/>
        <v>1688000</v>
      </c>
      <c r="H12" s="22">
        <f t="shared" si="1"/>
        <v>76275.822752607593</v>
      </c>
      <c r="I12" s="22">
        <f t="shared" si="3"/>
        <v>1611724.1772473925</v>
      </c>
    </row>
    <row r="13" spans="1:9" ht="15.75" customHeight="1" x14ac:dyDescent="0.25">
      <c r="A13" s="7" t="str">
        <f t="shared" si="2"/>
        <v/>
      </c>
      <c r="B13" s="77">
        <v>204000</v>
      </c>
      <c r="C13" s="78">
        <v>430000</v>
      </c>
      <c r="D13" s="78">
        <v>501000</v>
      </c>
      <c r="E13" s="78">
        <v>340000</v>
      </c>
      <c r="F13" s="78">
        <v>5.0787925000000001E-3</v>
      </c>
      <c r="G13" s="22">
        <f t="shared" si="0"/>
        <v>1271000.0050787926</v>
      </c>
      <c r="H13" s="22">
        <f t="shared" si="1"/>
        <v>235898.14750572399</v>
      </c>
      <c r="I13" s="22">
        <f t="shared" si="3"/>
        <v>1035101.8575730686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topLeftCell="A16" zoomScale="85" zoomScaleNormal="85" workbookViewId="0">
      <selection activeCell="E34" sqref="E34:G34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1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1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1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1" t="s">
        <v>1</v>
      </c>
      <c r="C5" s="35" t="s">
        <v>176</v>
      </c>
      <c r="D5" s="138">
        <f>0.9*5.16</f>
        <v>4.6440000000000001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1"/>
      <c r="C6" s="35" t="s">
        <v>175</v>
      </c>
      <c r="D6" s="138">
        <f>0.9*5.16</f>
        <v>4.6440000000000001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1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1" t="s">
        <v>2</v>
      </c>
      <c r="C8" s="35" t="s">
        <v>176</v>
      </c>
      <c r="D8" s="138">
        <v>1</v>
      </c>
      <c r="E8" s="138">
        <f>0.9*5.16</f>
        <v>4.6440000000000001</v>
      </c>
      <c r="F8" s="138">
        <v>1</v>
      </c>
      <c r="G8" s="138">
        <v>1</v>
      </c>
      <c r="H8" s="138">
        <v>1</v>
      </c>
    </row>
    <row r="9" spans="1:10" x14ac:dyDescent="0.25">
      <c r="B9" s="151"/>
      <c r="C9" s="35" t="s">
        <v>175</v>
      </c>
      <c r="D9" s="138">
        <v>1</v>
      </c>
      <c r="E9" s="138">
        <f>0.9*5.16</f>
        <v>4.6440000000000001</v>
      </c>
      <c r="F9" s="138">
        <v>1</v>
      </c>
      <c r="G9" s="138">
        <v>1</v>
      </c>
      <c r="H9" s="138">
        <v>1</v>
      </c>
    </row>
    <row r="10" spans="1:10" x14ac:dyDescent="0.25">
      <c r="B10" s="151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1" t="s">
        <v>3</v>
      </c>
      <c r="C11" s="35" t="s">
        <v>176</v>
      </c>
      <c r="D11" s="138">
        <v>1</v>
      </c>
      <c r="E11" s="138">
        <v>1</v>
      </c>
      <c r="F11" s="138">
        <f>0.9*1.82</f>
        <v>1.6380000000000001</v>
      </c>
      <c r="G11" s="138">
        <v>1</v>
      </c>
      <c r="H11" s="138">
        <v>1</v>
      </c>
    </row>
    <row r="12" spans="1:10" x14ac:dyDescent="0.25">
      <c r="B12" s="151"/>
      <c r="C12" s="35" t="s">
        <v>175</v>
      </c>
      <c r="D12" s="138">
        <v>1</v>
      </c>
      <c r="E12" s="138">
        <v>1</v>
      </c>
      <c r="F12" s="138">
        <f>0.9*1.82</f>
        <v>1.6380000000000001</v>
      </c>
      <c r="G12" s="138">
        <v>1</v>
      </c>
      <c r="H12" s="138">
        <v>1</v>
      </c>
    </row>
    <row r="13" spans="1:10" x14ac:dyDescent="0.25">
      <c r="B13" s="151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1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0.9*1.82</f>
        <v>1.6380000000000001</v>
      </c>
      <c r="H14" s="138">
        <v>1</v>
      </c>
    </row>
    <row r="15" spans="1:10" x14ac:dyDescent="0.25">
      <c r="B15" s="151"/>
      <c r="C15" s="35" t="s">
        <v>175</v>
      </c>
      <c r="D15" s="138">
        <v>1</v>
      </c>
      <c r="E15" s="138">
        <v>1</v>
      </c>
      <c r="F15" s="138">
        <v>1</v>
      </c>
      <c r="G15" s="138">
        <f>0.9*1.82</f>
        <v>1.6380000000000001</v>
      </c>
      <c r="H15" s="138">
        <v>1</v>
      </c>
    </row>
    <row r="16" spans="1:10" x14ac:dyDescent="0.25">
      <c r="B16" s="151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</f>
        <v>1</v>
      </c>
      <c r="E17" s="138">
        <f>1</f>
        <v>1</v>
      </c>
      <c r="F17" s="138">
        <f>1</f>
        <v>1</v>
      </c>
      <c r="G17" s="138">
        <f>1</f>
        <v>1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1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1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1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1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1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1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1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1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1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1" t="s">
        <v>3</v>
      </c>
      <c r="C28" s="35" t="s">
        <v>176</v>
      </c>
      <c r="D28" s="138">
        <v>1</v>
      </c>
      <c r="E28" s="138">
        <v>1</v>
      </c>
      <c r="F28" s="138">
        <f>1.1*0.78</f>
        <v>0.8580000000000001</v>
      </c>
      <c r="G28" s="138">
        <v>1</v>
      </c>
      <c r="H28" s="138">
        <v>1</v>
      </c>
    </row>
    <row r="29" spans="1:8" x14ac:dyDescent="0.25">
      <c r="B29" s="151"/>
      <c r="C29" s="35" t="s">
        <v>175</v>
      </c>
      <c r="D29" s="138">
        <v>1</v>
      </c>
      <c r="E29" s="138">
        <v>1</v>
      </c>
      <c r="F29" s="138">
        <f>1.1*0.78</f>
        <v>0.8580000000000001</v>
      </c>
      <c r="G29" s="138">
        <v>1</v>
      </c>
      <c r="H29" s="138">
        <v>1</v>
      </c>
    </row>
    <row r="30" spans="1:8" x14ac:dyDescent="0.25">
      <c r="B30" s="151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1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1.1*0.78</f>
        <v>0.8580000000000001</v>
      </c>
      <c r="H31" s="138">
        <v>1</v>
      </c>
    </row>
    <row r="32" spans="1:8" x14ac:dyDescent="0.25">
      <c r="B32" s="151"/>
      <c r="C32" s="35" t="s">
        <v>175</v>
      </c>
      <c r="D32" s="138">
        <v>1</v>
      </c>
      <c r="E32" s="138">
        <v>1</v>
      </c>
      <c r="F32" s="138">
        <v>1</v>
      </c>
      <c r="G32" s="138">
        <f>1.1*0.78</f>
        <v>0.8580000000000001</v>
      </c>
      <c r="H32" s="138">
        <v>1</v>
      </c>
    </row>
    <row r="33" spans="1:8" x14ac:dyDescent="0.25">
      <c r="B33" s="151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v>1</v>
      </c>
      <c r="G34" s="138">
        <v>1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1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1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1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1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1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1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1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1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1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1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1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1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1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1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1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C11" sqref="C11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0.89*1.1</f>
        <v>0.97900000000000009</v>
      </c>
      <c r="F6" s="140">
        <f>0.89*1.1</f>
        <v>0.97900000000000009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0.89*1.1</f>
        <v>0.97900000000000009</v>
      </c>
      <c r="F7" s="140">
        <f>0.89*1.1</f>
        <v>0.97900000000000009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1.1*1.5</f>
        <v>1.6500000000000001</v>
      </c>
      <c r="D11" s="140">
        <f>1.1*1.5</f>
        <v>1.6500000000000001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D8" sqref="D8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0.1</v>
      </c>
      <c r="D2" s="140">
        <v>0.1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0.23</v>
      </c>
      <c r="D8" s="140">
        <v>0.23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0.23</v>
      </c>
      <c r="D10" s="140">
        <v>0.23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0.03</v>
      </c>
      <c r="D12" s="140">
        <v>0.03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0.7</v>
      </c>
      <c r="D3" s="140">
        <v>0.7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0.95</v>
      </c>
      <c r="I4" s="140">
        <v>0.95</v>
      </c>
      <c r="J4" s="140">
        <v>0.95</v>
      </c>
      <c r="K4" s="140">
        <v>0.95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0.95</v>
      </c>
      <c r="I5" s="140">
        <v>0.95</v>
      </c>
      <c r="J5" s="140">
        <v>0.95</v>
      </c>
      <c r="K5" s="140">
        <v>0.95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0.95</v>
      </c>
      <c r="I6" s="140">
        <v>0.95</v>
      </c>
      <c r="J6" s="140">
        <v>0.95</v>
      </c>
      <c r="K6" s="140">
        <v>0.95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0.95</v>
      </c>
      <c r="I7" s="140">
        <v>0.95</v>
      </c>
      <c r="J7" s="140">
        <v>0.95</v>
      </c>
      <c r="K7" s="140">
        <v>0.95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0.69</v>
      </c>
      <c r="M8" s="140">
        <v>0.69</v>
      </c>
      <c r="N8" s="140">
        <v>0.69</v>
      </c>
      <c r="O8" s="140">
        <v>0.69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0.69</v>
      </c>
      <c r="M9" s="140">
        <v>0.69</v>
      </c>
      <c r="N9" s="140">
        <v>0.69</v>
      </c>
      <c r="O9" s="140">
        <v>0.69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0.93</v>
      </c>
      <c r="M10" s="140">
        <v>0.93</v>
      </c>
      <c r="N10" s="140">
        <v>0.93</v>
      </c>
      <c r="O10" s="140">
        <v>0.93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0.78</v>
      </c>
      <c r="F11" s="140">
        <v>0.78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1.1*0.83</f>
        <v>0.91300000000000003</v>
      </c>
      <c r="D12" s="140">
        <f t="shared" ref="D12:O12" si="0">1.1*0.83</f>
        <v>0.91300000000000003</v>
      </c>
      <c r="E12" s="140">
        <f t="shared" si="0"/>
        <v>0.91300000000000003</v>
      </c>
      <c r="F12" s="140">
        <f t="shared" si="0"/>
        <v>0.91300000000000003</v>
      </c>
      <c r="G12" s="140">
        <f t="shared" si="0"/>
        <v>0.91300000000000003</v>
      </c>
      <c r="H12" s="140">
        <f t="shared" si="0"/>
        <v>0.91300000000000003</v>
      </c>
      <c r="I12" s="140">
        <f t="shared" si="0"/>
        <v>0.91300000000000003</v>
      </c>
      <c r="J12" s="140">
        <f t="shared" si="0"/>
        <v>0.91300000000000003</v>
      </c>
      <c r="K12" s="140">
        <f t="shared" si="0"/>
        <v>0.91300000000000003</v>
      </c>
      <c r="L12" s="140">
        <f t="shared" si="0"/>
        <v>0.91300000000000003</v>
      </c>
      <c r="M12" s="140">
        <f t="shared" si="0"/>
        <v>0.91300000000000003</v>
      </c>
      <c r="N12" s="140">
        <f t="shared" si="0"/>
        <v>0.91300000000000003</v>
      </c>
      <c r="O12" s="140">
        <f t="shared" si="0"/>
        <v>0.91300000000000003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0.78</v>
      </c>
      <c r="F13" s="140">
        <v>0.78</v>
      </c>
      <c r="G13" s="140">
        <v>0.78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0.69</v>
      </c>
      <c r="M14" s="140">
        <v>0.69</v>
      </c>
      <c r="N14" s="140">
        <v>0.69</v>
      </c>
      <c r="O14" s="140">
        <v>0.69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40">
        <v>1</v>
      </c>
      <c r="J17" s="140">
        <v>1</v>
      </c>
      <c r="K17" s="140">
        <v>1</v>
      </c>
      <c r="L17" s="140">
        <v>1</v>
      </c>
      <c r="M17" s="140">
        <v>1</v>
      </c>
      <c r="N17" s="140">
        <v>1</v>
      </c>
      <c r="O17" s="140">
        <v>1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40">
        <v>1</v>
      </c>
      <c r="J18" s="140">
        <v>1</v>
      </c>
      <c r="K18" s="140">
        <v>1</v>
      </c>
      <c r="L18" s="140">
        <v>1</v>
      </c>
      <c r="M18" s="140">
        <v>1</v>
      </c>
      <c r="N18" s="140">
        <v>1</v>
      </c>
      <c r="O18" s="140">
        <v>1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40">
        <v>1</v>
      </c>
      <c r="J19" s="140">
        <v>1</v>
      </c>
      <c r="K19" s="140">
        <v>1</v>
      </c>
      <c r="L19" s="140">
        <v>1</v>
      </c>
      <c r="M19" s="140">
        <v>1</v>
      </c>
      <c r="N19" s="140">
        <v>1</v>
      </c>
      <c r="O19" s="140">
        <v>1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40">
        <v>1</v>
      </c>
      <c r="J20" s="140">
        <v>1</v>
      </c>
      <c r="K20" s="140">
        <v>1</v>
      </c>
      <c r="L20" s="140">
        <v>1</v>
      </c>
      <c r="M20" s="140">
        <v>1</v>
      </c>
      <c r="N20" s="140">
        <v>1</v>
      </c>
      <c r="O20" s="140">
        <v>1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F5" sqref="F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1.1*0.22</f>
        <v>0.24200000000000002</v>
      </c>
      <c r="E3" s="140">
        <f t="shared" ref="E3:G3" si="0">1.1*0.22</f>
        <v>0.24200000000000002</v>
      </c>
      <c r="F3" s="140">
        <f t="shared" si="0"/>
        <v>0.24200000000000002</v>
      </c>
      <c r="G3" s="140">
        <f t="shared" si="0"/>
        <v>0.24200000000000002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1.1*0.16</f>
        <v>0.17600000000000002</v>
      </c>
      <c r="E5" s="140">
        <f t="shared" ref="E5:G5" si="1">1.1*0.16</f>
        <v>0.17600000000000002</v>
      </c>
      <c r="F5" s="140">
        <f t="shared" si="1"/>
        <v>0.17600000000000002</v>
      </c>
      <c r="G5" s="140">
        <f t="shared" si="1"/>
        <v>0.17600000000000002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abSelected="1" topLeftCell="A2" zoomScale="111" workbookViewId="0">
      <selection activeCell="F16" sqref="F16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0.9*0.36</f>
        <v>0.32400000000000001</v>
      </c>
      <c r="G3" s="140">
        <f t="shared" ref="G3:H3" si="0">0.9*0.36</f>
        <v>0.32400000000000001</v>
      </c>
      <c r="H3" s="140">
        <f t="shared" si="0"/>
        <v>0.32400000000000001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0.9*0.45</f>
        <v>0.40500000000000003</v>
      </c>
      <c r="G4" s="140">
        <f t="shared" ref="G4:H4" si="1">0.9*0.45</f>
        <v>0.40500000000000003</v>
      </c>
      <c r="H4" s="140">
        <f t="shared" si="1"/>
        <v>0.40500000000000003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0.9*0.259701492537313</f>
        <v>0.23373134328358172</v>
      </c>
      <c r="G6" s="140">
        <f>0.9*0.259701492537313</f>
        <v>0.23373134328358172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0.9*0.259701492537313</f>
        <v>0.23373134328358172</v>
      </c>
      <c r="G8" s="140">
        <f>0.9*0.259701492537313</f>
        <v>0.23373134328358172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0.9*0.259701492537313</f>
        <v>0.23373134328358172</v>
      </c>
      <c r="G10" s="140">
        <f>0.9*0.259701492537313</f>
        <v>0.23373134328358172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0.9*0.259701492537313</f>
        <v>0.23373134328358172</v>
      </c>
      <c r="G12" s="140">
        <f>0.9*0.259701492537313</f>
        <v>0.23373134328358172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0.9*0.85</f>
        <v>0.76500000000000001</v>
      </c>
      <c r="G14" s="140">
        <f t="shared" ref="G14:H14" si="2">0.9*0.85</f>
        <v>0.76500000000000001</v>
      </c>
      <c r="H14" s="140">
        <f t="shared" si="2"/>
        <v>0.76500000000000001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0.9*0.75</f>
        <v>0.67500000000000004</v>
      </c>
      <c r="G16" s="140">
        <f t="shared" ref="G16:H16" si="3">0.9*0.75</f>
        <v>0.67500000000000004</v>
      </c>
      <c r="H16" s="140">
        <f t="shared" si="3"/>
        <v>0.67500000000000004</v>
      </c>
      <c r="I16" s="36"/>
    </row>
    <row r="17" spans="1:9" x14ac:dyDescent="0.25">
      <c r="A17" s="150" t="s">
        <v>183</v>
      </c>
      <c r="B17" s="150" t="s">
        <v>66</v>
      </c>
      <c r="C17" s="150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50"/>
      <c r="B18" s="150"/>
      <c r="C18" s="150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50"/>
      <c r="B19" s="150" t="s">
        <v>65</v>
      </c>
      <c r="C19" s="150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50"/>
      <c r="B20" s="150"/>
      <c r="C20" s="150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0.9*0.19</f>
        <v>0.17100000000000001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0.9*0.19</f>
        <v>0.17100000000000001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0.9*0.19</f>
        <v>0.17100000000000001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0.9*0.5</f>
        <v>0.45</v>
      </c>
      <c r="E43" s="140">
        <f t="shared" ref="E43:H43" si="4">0.9*0.5</f>
        <v>0.45</v>
      </c>
      <c r="F43" s="140">
        <f t="shared" si="4"/>
        <v>0.45</v>
      </c>
      <c r="G43" s="140">
        <f t="shared" si="4"/>
        <v>0.45</v>
      </c>
      <c r="H43" s="140">
        <f t="shared" si="4"/>
        <v>0.45</v>
      </c>
    </row>
    <row r="44" spans="1:8" x14ac:dyDescent="0.25">
      <c r="C44" s="52" t="s">
        <v>270</v>
      </c>
      <c r="D44" s="140">
        <f>0.9*0.65</f>
        <v>0.58500000000000008</v>
      </c>
      <c r="E44" s="140">
        <f t="shared" ref="E44:H44" si="5">0.9*0.65</f>
        <v>0.58500000000000008</v>
      </c>
      <c r="F44" s="140">
        <f t="shared" si="5"/>
        <v>0.58500000000000008</v>
      </c>
      <c r="G44" s="140">
        <f t="shared" si="5"/>
        <v>0.58500000000000008</v>
      </c>
      <c r="H44" s="140">
        <f t="shared" si="5"/>
        <v>0.58500000000000008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0.9*0.49</f>
        <v>0.441</v>
      </c>
      <c r="E46" s="140">
        <f t="shared" ref="E46:H46" si="6">0.9*0.49</f>
        <v>0.441</v>
      </c>
      <c r="F46" s="140">
        <f t="shared" si="6"/>
        <v>0.441</v>
      </c>
      <c r="G46" s="140">
        <f t="shared" si="6"/>
        <v>0.441</v>
      </c>
      <c r="H46" s="140">
        <f t="shared" si="6"/>
        <v>0.441</v>
      </c>
    </row>
    <row r="47" spans="1:8" x14ac:dyDescent="0.25">
      <c r="C47" s="52" t="s">
        <v>270</v>
      </c>
      <c r="D47" s="140">
        <f>0.9*0.63</f>
        <v>0.56700000000000006</v>
      </c>
      <c r="E47" s="140">
        <f t="shared" ref="E47:H47" si="7">0.9*0.63</f>
        <v>0.56700000000000006</v>
      </c>
      <c r="F47" s="140">
        <f t="shared" si="7"/>
        <v>0.56700000000000006</v>
      </c>
      <c r="G47" s="140">
        <f t="shared" si="7"/>
        <v>0.56700000000000006</v>
      </c>
      <c r="H47" s="140">
        <f t="shared" si="7"/>
        <v>0.56700000000000006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0.9*0.8</f>
        <v>0.72000000000000008</v>
      </c>
      <c r="E49" s="140">
        <f t="shared" ref="E49:H49" si="8">0.9*0.8</f>
        <v>0.72000000000000008</v>
      </c>
      <c r="F49" s="140">
        <f t="shared" si="8"/>
        <v>0.72000000000000008</v>
      </c>
      <c r="G49" s="140">
        <f t="shared" si="8"/>
        <v>0.72000000000000008</v>
      </c>
      <c r="H49" s="140">
        <f t="shared" si="8"/>
        <v>0.72000000000000008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0.9*0.76</f>
        <v>0.68400000000000005</v>
      </c>
      <c r="E51" s="140">
        <f t="shared" ref="E51:H51" si="9">0.9*0.76</f>
        <v>0.68400000000000005</v>
      </c>
      <c r="F51" s="140">
        <f t="shared" si="9"/>
        <v>0.68400000000000005</v>
      </c>
      <c r="G51" s="140">
        <f t="shared" si="9"/>
        <v>0.68400000000000005</v>
      </c>
      <c r="H51" s="140">
        <f t="shared" si="9"/>
        <v>0.68400000000000005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0.9*0.88</f>
        <v>0.79200000000000004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D7" sqref="D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0.03</v>
      </c>
      <c r="E3" s="140">
        <v>0.03</v>
      </c>
      <c r="F3" s="140">
        <v>0.03</v>
      </c>
      <c r="G3" s="140">
        <v>0.03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0.42</v>
      </c>
      <c r="E5" s="140">
        <v>0.42</v>
      </c>
      <c r="F5" s="140">
        <v>0.42</v>
      </c>
      <c r="G5" s="140">
        <v>0.42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0.42</v>
      </c>
      <c r="E7" s="140">
        <v>0.42</v>
      </c>
      <c r="F7" s="140">
        <v>0.42</v>
      </c>
      <c r="G7" s="140">
        <v>0.42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1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5.0787925000000001E-3</v>
      </c>
    </row>
    <row r="4" spans="1:8" ht="15.75" customHeight="1" x14ac:dyDescent="0.25">
      <c r="B4" s="24" t="s">
        <v>7</v>
      </c>
      <c r="C4" s="79">
        <v>4.0265801837359373E-2</v>
      </c>
    </row>
    <row r="5" spans="1:8" ht="15.75" customHeight="1" x14ac:dyDescent="0.25">
      <c r="B5" s="24" t="s">
        <v>8</v>
      </c>
      <c r="C5" s="79">
        <v>2.742621609592252E-2</v>
      </c>
    </row>
    <row r="6" spans="1:8" ht="15.75" customHeight="1" x14ac:dyDescent="0.25">
      <c r="B6" s="24" t="s">
        <v>10</v>
      </c>
      <c r="C6" s="79">
        <v>0.11945546993473161</v>
      </c>
    </row>
    <row r="7" spans="1:8" ht="15.75" customHeight="1" x14ac:dyDescent="0.25">
      <c r="B7" s="24" t="s">
        <v>13</v>
      </c>
      <c r="C7" s="79">
        <v>0.43274836534475125</v>
      </c>
    </row>
    <row r="8" spans="1:8" ht="15.75" customHeight="1" x14ac:dyDescent="0.25">
      <c r="B8" s="24" t="s">
        <v>14</v>
      </c>
      <c r="C8" s="79">
        <v>8.2670687373866295E-6</v>
      </c>
    </row>
    <row r="9" spans="1:8" ht="15.75" customHeight="1" x14ac:dyDescent="0.25">
      <c r="B9" s="24" t="s">
        <v>27</v>
      </c>
      <c r="C9" s="79">
        <v>0.21798842439149074</v>
      </c>
    </row>
    <row r="10" spans="1:8" ht="15.75" customHeight="1" x14ac:dyDescent="0.25">
      <c r="B10" s="24" t="s">
        <v>15</v>
      </c>
      <c r="C10" s="79">
        <v>0.15702866282700723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1.8271513920866501E-2</v>
      </c>
      <c r="D14" s="79">
        <v>1.8271513920866501E-2</v>
      </c>
      <c r="E14" s="79">
        <v>1.1893026261105399E-2</v>
      </c>
      <c r="F14" s="79">
        <v>1.1893026261105399E-2</v>
      </c>
    </row>
    <row r="15" spans="1:8" ht="15.75" customHeight="1" x14ac:dyDescent="0.25">
      <c r="B15" s="24" t="s">
        <v>16</v>
      </c>
      <c r="C15" s="79">
        <v>0.103606149224688</v>
      </c>
      <c r="D15" s="79">
        <v>0.103606149224688</v>
      </c>
      <c r="E15" s="79">
        <v>5.0513322232889901E-2</v>
      </c>
      <c r="F15" s="79">
        <v>5.0513322232889901E-2</v>
      </c>
    </row>
    <row r="16" spans="1:8" ht="15.75" customHeight="1" x14ac:dyDescent="0.25">
      <c r="B16" s="24" t="s">
        <v>17</v>
      </c>
      <c r="C16" s="79">
        <v>1.8837920970046999E-2</v>
      </c>
      <c r="D16" s="79">
        <v>1.8837920970046999E-2</v>
      </c>
      <c r="E16" s="79">
        <v>1.8771162195055702E-2</v>
      </c>
      <c r="F16" s="79">
        <v>1.8771162195055702E-2</v>
      </c>
    </row>
    <row r="17" spans="1:8" ht="15.75" customHeight="1" x14ac:dyDescent="0.25">
      <c r="B17" s="24" t="s">
        <v>18</v>
      </c>
      <c r="C17" s="79">
        <v>1.0670227429799199E-3</v>
      </c>
      <c r="D17" s="79">
        <v>1.0670227429799199E-3</v>
      </c>
      <c r="E17" s="79">
        <v>6.3798066631240487E-3</v>
      </c>
      <c r="F17" s="79">
        <v>6.3798066631240487E-3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3.6159878737022602E-2</v>
      </c>
      <c r="D19" s="79">
        <v>3.6159878737022602E-2</v>
      </c>
      <c r="E19" s="79">
        <v>8.7868604510684289E-2</v>
      </c>
      <c r="F19" s="79">
        <v>8.7868604510684289E-2</v>
      </c>
    </row>
    <row r="20" spans="1:8" ht="15.75" customHeight="1" x14ac:dyDescent="0.25">
      <c r="B20" s="24" t="s">
        <v>21</v>
      </c>
      <c r="C20" s="79">
        <v>6.41732414499288E-3</v>
      </c>
      <c r="D20" s="79">
        <v>6.41732414499288E-3</v>
      </c>
      <c r="E20" s="79">
        <v>6.6707408603774804E-2</v>
      </c>
      <c r="F20" s="79">
        <v>6.6707408603774804E-2</v>
      </c>
    </row>
    <row r="21" spans="1:8" ht="15.75" customHeight="1" x14ac:dyDescent="0.25">
      <c r="B21" s="24" t="s">
        <v>22</v>
      </c>
      <c r="C21" s="79">
        <v>4.8915825358088097E-2</v>
      </c>
      <c r="D21" s="79">
        <v>4.8915825358088097E-2</v>
      </c>
      <c r="E21" s="79">
        <v>0.20643279459085101</v>
      </c>
      <c r="F21" s="79">
        <v>0.20643279459085101</v>
      </c>
    </row>
    <row r="22" spans="1:8" ht="15.75" customHeight="1" x14ac:dyDescent="0.25">
      <c r="B22" s="24" t="s">
        <v>23</v>
      </c>
      <c r="C22" s="79">
        <v>0.7667243649013149</v>
      </c>
      <c r="D22" s="79">
        <v>0.7667243649013149</v>
      </c>
      <c r="E22" s="79">
        <v>0.55143387494251483</v>
      </c>
      <c r="F22" s="79">
        <v>0.55143387494251483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7.6399999999999996E-2</v>
      </c>
    </row>
    <row r="27" spans="1:8" ht="15.75" customHeight="1" x14ac:dyDescent="0.25">
      <c r="B27" s="24" t="s">
        <v>39</v>
      </c>
      <c r="C27" s="79">
        <v>4.6900000000000004E-2</v>
      </c>
    </row>
    <row r="28" spans="1:8" ht="15.75" customHeight="1" x14ac:dyDescent="0.25">
      <c r="B28" s="24" t="s">
        <v>40</v>
      </c>
      <c r="C28" s="79">
        <v>8.1000000000000003E-2</v>
      </c>
    </row>
    <row r="29" spans="1:8" ht="15.75" customHeight="1" x14ac:dyDescent="0.25">
      <c r="B29" s="24" t="s">
        <v>41</v>
      </c>
      <c r="C29" s="79">
        <v>0.1757</v>
      </c>
    </row>
    <row r="30" spans="1:8" ht="15.75" customHeight="1" x14ac:dyDescent="0.25">
      <c r="B30" s="24" t="s">
        <v>42</v>
      </c>
      <c r="C30" s="79">
        <v>0.10300000000000001</v>
      </c>
    </row>
    <row r="31" spans="1:8" ht="15.75" customHeight="1" x14ac:dyDescent="0.25">
      <c r="B31" s="24" t="s">
        <v>43</v>
      </c>
      <c r="C31" s="79">
        <v>3.8199999999999998E-2</v>
      </c>
    </row>
    <row r="32" spans="1:8" ht="15.75" customHeight="1" x14ac:dyDescent="0.25">
      <c r="B32" s="24" t="s">
        <v>44</v>
      </c>
      <c r="C32" s="79">
        <v>0.1772</v>
      </c>
    </row>
    <row r="33" spans="2:3" ht="15.75" customHeight="1" x14ac:dyDescent="0.25">
      <c r="B33" s="24" t="s">
        <v>45</v>
      </c>
      <c r="C33" s="79">
        <v>0.16260000000000002</v>
      </c>
    </row>
    <row r="34" spans="2:3" ht="15.75" customHeight="1" x14ac:dyDescent="0.25">
      <c r="B34" s="24" t="s">
        <v>46</v>
      </c>
      <c r="C34" s="79">
        <v>0.13899999999999987</v>
      </c>
    </row>
    <row r="35" spans="2:3" ht="15.75" customHeight="1" x14ac:dyDescent="0.25">
      <c r="B35" s="32" t="s">
        <v>129</v>
      </c>
      <c r="C35" s="74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D15" sqref="D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0.81635134073245619</v>
      </c>
      <c r="D2" s="80">
        <v>0.81635134073245619</v>
      </c>
      <c r="E2" s="80">
        <v>0.85512278299560918</v>
      </c>
      <c r="F2" s="80">
        <v>0.80019948806941432</v>
      </c>
      <c r="G2" s="80">
        <v>0.86757642976719029</v>
      </c>
    </row>
    <row r="3" spans="1:15" ht="15.75" customHeight="1" x14ac:dyDescent="0.25">
      <c r="A3" s="5"/>
      <c r="B3" s="11" t="s">
        <v>118</v>
      </c>
      <c r="C3" s="80">
        <v>9.3810545267543871E-2</v>
      </c>
      <c r="D3" s="80">
        <v>9.3810545267543871E-2</v>
      </c>
      <c r="E3" s="80">
        <v>6.4613764004390783E-2</v>
      </c>
      <c r="F3" s="80">
        <v>0.12203042193058566</v>
      </c>
      <c r="G3" s="80">
        <v>8.3669827899476454E-2</v>
      </c>
    </row>
    <row r="4" spans="1:15" ht="15.75" customHeight="1" x14ac:dyDescent="0.25">
      <c r="A4" s="5"/>
      <c r="B4" s="11" t="s">
        <v>116</v>
      </c>
      <c r="C4" s="81">
        <v>7.3687441820224714E-2</v>
      </c>
      <c r="D4" s="81">
        <v>7.3687441820224714E-2</v>
      </c>
      <c r="E4" s="81">
        <v>3.4269788921348313E-2</v>
      </c>
      <c r="F4" s="81">
        <v>3.9390045584415584E-2</v>
      </c>
      <c r="G4" s="81">
        <v>3.2502494888888886E-2</v>
      </c>
    </row>
    <row r="5" spans="1:15" ht="15.75" customHeight="1" x14ac:dyDescent="0.25">
      <c r="A5" s="5"/>
      <c r="B5" s="11" t="s">
        <v>119</v>
      </c>
      <c r="C5" s="81">
        <v>1.6150672179775283E-2</v>
      </c>
      <c r="D5" s="81">
        <v>1.6150672179775283E-2</v>
      </c>
      <c r="E5" s="81">
        <v>4.5993664078651679E-2</v>
      </c>
      <c r="F5" s="81">
        <v>3.8380044415584416E-2</v>
      </c>
      <c r="G5" s="81">
        <v>1.6251247444444443E-2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0.78538025142857137</v>
      </c>
      <c r="D8" s="80">
        <v>0.78538025142857137</v>
      </c>
      <c r="E8" s="80">
        <v>0.81990598148936178</v>
      </c>
      <c r="F8" s="80">
        <v>0.95983913257653053</v>
      </c>
      <c r="G8" s="80">
        <v>0.89517973704067555</v>
      </c>
    </row>
    <row r="9" spans="1:15" ht="15.75" customHeight="1" x14ac:dyDescent="0.25">
      <c r="B9" s="7" t="s">
        <v>121</v>
      </c>
      <c r="C9" s="80">
        <v>0.1308967085714286</v>
      </c>
      <c r="D9" s="80">
        <v>0.1308967085714286</v>
      </c>
      <c r="E9" s="80">
        <v>0.10866223851063832</v>
      </c>
      <c r="F9" s="80">
        <v>2.9269542423469384E-2</v>
      </c>
      <c r="G9" s="80">
        <v>7.2014459292657707E-2</v>
      </c>
    </row>
    <row r="10" spans="1:15" ht="15.75" customHeight="1" x14ac:dyDescent="0.25">
      <c r="B10" s="7" t="s">
        <v>122</v>
      </c>
      <c r="C10" s="81">
        <v>7.8554261699999989E-2</v>
      </c>
      <c r="D10" s="81">
        <v>7.8554261699999989E-2</v>
      </c>
      <c r="E10" s="81">
        <v>5.9115167999999996E-2</v>
      </c>
      <c r="F10" s="81">
        <v>3.5218848000000001E-3</v>
      </c>
      <c r="G10" s="81">
        <v>1.9714590666666667E-2</v>
      </c>
    </row>
    <row r="11" spans="1:15" ht="15.75" customHeight="1" x14ac:dyDescent="0.25">
      <c r="B11" s="7" t="s">
        <v>123</v>
      </c>
      <c r="C11" s="81">
        <v>5.1687782999999994E-3</v>
      </c>
      <c r="D11" s="81">
        <v>5.1687782999999994E-3</v>
      </c>
      <c r="E11" s="81">
        <v>1.2316611999999999E-2</v>
      </c>
      <c r="F11" s="81">
        <v>7.3694402000000006E-3</v>
      </c>
      <c r="G11" s="81">
        <v>1.3091213000000001E-2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0.40326360550000007</v>
      </c>
      <c r="D14" s="82">
        <v>0.41716673795999992</v>
      </c>
      <c r="E14" s="82">
        <v>0.41716673795999992</v>
      </c>
      <c r="F14" s="82">
        <v>0.180481621654</v>
      </c>
      <c r="G14" s="82">
        <v>0.180481621654</v>
      </c>
      <c r="H14" s="83">
        <v>0.28399999999999997</v>
      </c>
      <c r="I14" s="83">
        <v>0.28399999999999997</v>
      </c>
      <c r="J14" s="83">
        <v>0.28399999999999997</v>
      </c>
      <c r="K14" s="83">
        <v>0.28399999999999997</v>
      </c>
      <c r="L14" s="83">
        <v>0.12694196880600001</v>
      </c>
      <c r="M14" s="83">
        <v>0.12473427847849999</v>
      </c>
      <c r="N14" s="83">
        <v>0.145642264031</v>
      </c>
      <c r="O14" s="83">
        <v>0.15236209121050001</v>
      </c>
    </row>
    <row r="15" spans="1:15" ht="15.75" customHeight="1" x14ac:dyDescent="0.25">
      <c r="B15" s="16" t="s">
        <v>68</v>
      </c>
      <c r="C15" s="80">
        <f>iron_deficiency_anaemia*C14</f>
        <v>0.22331109730173154</v>
      </c>
      <c r="D15" s="80">
        <f t="shared" ref="D15:O15" si="0">iron_deficiency_anaemia*D14</f>
        <v>0.23101009052410379</v>
      </c>
      <c r="E15" s="80">
        <f t="shared" si="0"/>
        <v>0.23101009052410379</v>
      </c>
      <c r="F15" s="80">
        <f t="shared" si="0"/>
        <v>9.9943432595111015E-2</v>
      </c>
      <c r="G15" s="80">
        <f t="shared" si="0"/>
        <v>9.9943432595111015E-2</v>
      </c>
      <c r="H15" s="80">
        <f t="shared" si="0"/>
        <v>0.15726772951667156</v>
      </c>
      <c r="I15" s="80">
        <f t="shared" si="0"/>
        <v>0.15726772951667156</v>
      </c>
      <c r="J15" s="80">
        <f t="shared" si="0"/>
        <v>0.15726772951667156</v>
      </c>
      <c r="K15" s="80">
        <f t="shared" si="0"/>
        <v>0.15726772951667156</v>
      </c>
      <c r="L15" s="80">
        <f t="shared" si="0"/>
        <v>7.029533526230905E-2</v>
      </c>
      <c r="M15" s="80">
        <f t="shared" si="0"/>
        <v>6.907280552540114E-2</v>
      </c>
      <c r="N15" s="80">
        <f t="shared" si="0"/>
        <v>8.0650803471207649E-2</v>
      </c>
      <c r="O15" s="80">
        <f t="shared" si="0"/>
        <v>8.4371972355941405E-2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0.22899999999999998</v>
      </c>
      <c r="D2" s="81">
        <v>0.124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0.32</v>
      </c>
      <c r="D3" s="81">
        <v>0.35100000000000003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0.44</v>
      </c>
      <c r="D4" s="81">
        <v>0.23899999999999999</v>
      </c>
      <c r="E4" s="81">
        <v>0.56100000000000005</v>
      </c>
      <c r="F4" s="81">
        <v>0.14599999999999999</v>
      </c>
      <c r="G4" s="81">
        <v>0</v>
      </c>
    </row>
    <row r="5" spans="1:7" x14ac:dyDescent="0.25">
      <c r="B5" s="43" t="s">
        <v>169</v>
      </c>
      <c r="C5" s="80">
        <f>1-SUM(C2:C4)</f>
        <v>1.1000000000000121E-2</v>
      </c>
      <c r="D5" s="80">
        <f>1-SUM(D2:D4)</f>
        <v>0.28600000000000003</v>
      </c>
      <c r="E5" s="80">
        <f>1-SUM(E2:E4)</f>
        <v>0.43899999999999995</v>
      </c>
      <c r="F5" s="80">
        <f>1-SUM(F2:F4)</f>
        <v>0.85399999999999998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7" sqref="C7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7.9130000000000006E-2</v>
      </c>
      <c r="D2" s="143">
        <v>7.7770000000000006E-2</v>
      </c>
      <c r="E2" s="143">
        <v>7.6429999999999998E-2</v>
      </c>
      <c r="F2" s="143">
        <v>7.5139999999999998E-2</v>
      </c>
      <c r="G2" s="143">
        <v>7.3880000000000001E-2</v>
      </c>
      <c r="H2" s="143">
        <v>7.2669999999999998E-2</v>
      </c>
      <c r="I2" s="143">
        <v>7.1500000000000008E-2</v>
      </c>
      <c r="J2" s="143">
        <v>7.0370000000000002E-2</v>
      </c>
      <c r="K2" s="143">
        <v>6.9279999999999994E-2</v>
      </c>
      <c r="L2" s="143">
        <v>6.8220000000000003E-2</v>
      </c>
      <c r="M2" s="143">
        <v>6.7199999999999996E-2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3.023E-2</v>
      </c>
      <c r="D4" s="143">
        <v>2.989E-2</v>
      </c>
      <c r="E4" s="143">
        <v>2.955E-2</v>
      </c>
      <c r="F4" s="143">
        <v>2.9220000000000003E-2</v>
      </c>
      <c r="G4" s="143">
        <v>2.8900000000000002E-2</v>
      </c>
      <c r="H4" s="143">
        <v>2.8590000000000001E-2</v>
      </c>
      <c r="I4" s="143">
        <v>2.8300000000000002E-2</v>
      </c>
      <c r="J4" s="143">
        <v>2.8029999999999999E-2</v>
      </c>
      <c r="K4" s="143">
        <v>2.7759999999999996E-2</v>
      </c>
      <c r="L4" s="143">
        <v>2.751E-2</v>
      </c>
      <c r="M4" s="143">
        <v>2.7269999999999999E-2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0.41716673795999992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0.28399999999999997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0.12694196880600001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0.124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0.14599999999999999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8">
        <v>4.6689999999999996</v>
      </c>
      <c r="D13" s="142">
        <v>4.5640000000000001</v>
      </c>
      <c r="E13" s="142">
        <v>4.4560000000000004</v>
      </c>
      <c r="F13" s="142">
        <v>4.3559999999999999</v>
      </c>
      <c r="G13" s="142">
        <v>4.2610000000000001</v>
      </c>
      <c r="H13" s="142">
        <v>4.1219999999999999</v>
      </c>
      <c r="I13" s="142">
        <v>4.0209999999999999</v>
      </c>
      <c r="J13" s="142">
        <v>3.9590000000000001</v>
      </c>
      <c r="K13" s="142">
        <v>3.8340000000000001</v>
      </c>
      <c r="L13" s="142">
        <v>3.7509999999999999</v>
      </c>
      <c r="M13" s="142">
        <v>3.6509999999999998</v>
      </c>
      <c r="N13" s="142"/>
      <c r="O13" s="142"/>
      <c r="P13" s="142"/>
    </row>
    <row r="14" spans="1:16" x14ac:dyDescent="0.25">
      <c r="B14" s="16" t="s">
        <v>170</v>
      </c>
      <c r="C14" s="148">
        <f>maternal_mortality</f>
        <v>0.17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3" sqref="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147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147" t="s">
        <v>194</v>
      </c>
    </row>
  </sheetData>
  <sheetProtection algorithmName="SHA-512" hashValue="TGI3fasAJA3w8XsTVDhIMA1F7ypIzjTVVlVlaTBZp0pEhsUjD3g3LArx4w982WV351TQGP3VsCDDbVaTJD4QkA==" saltValue="t2VEzZrHZjlV7AwxXMDtig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22" workbookViewId="0">
      <selection activeCell="B33" sqref="B33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9">
        <v>66.2077864022162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9">
        <v>40.063438578113967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9">
        <v>542.61982788724652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9">
        <v>6.5039724560692287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9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9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9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9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9">
        <v>1.6629042925958601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9">
        <v>1.6629042925958601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9">
        <v>1.6629042925958601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9">
        <v>1.6629042925958601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9">
        <v>13.195738021909877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9">
        <v>13.195738021909877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9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9">
        <v>0.90250382180522548</v>
      </c>
      <c r="E17" s="86" t="s">
        <v>202</v>
      </c>
    </row>
    <row r="18" spans="1:5" ht="16.05" customHeight="1" x14ac:dyDescent="0.25">
      <c r="A18" s="52" t="s">
        <v>173</v>
      </c>
      <c r="B18" s="85">
        <v>0.89599999999999991</v>
      </c>
      <c r="C18" s="85">
        <v>0.95</v>
      </c>
      <c r="D18" s="149">
        <v>12.47074045559749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9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9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9">
        <v>68.582775194044444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9">
        <v>22.867873379757977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9">
        <v>4.3940617735474108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9">
        <v>18.764182705510283</v>
      </c>
      <c r="E24" s="86" t="s">
        <v>202</v>
      </c>
    </row>
    <row r="25" spans="1:5" ht="15.75" customHeight="1" x14ac:dyDescent="0.25">
      <c r="A25" s="52" t="s">
        <v>87</v>
      </c>
      <c r="B25" s="85">
        <v>0.69499999999999995</v>
      </c>
      <c r="C25" s="85">
        <v>0.95</v>
      </c>
      <c r="D25" s="149">
        <v>18.768514399252872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9">
        <v>5.6319900040798876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9">
        <v>8.5562475266853504</v>
      </c>
      <c r="E27" s="86" t="s">
        <v>202</v>
      </c>
    </row>
    <row r="28" spans="1:5" ht="15.75" customHeight="1" x14ac:dyDescent="0.25">
      <c r="A28" s="52" t="s">
        <v>84</v>
      </c>
      <c r="B28" s="85">
        <v>0.36</v>
      </c>
      <c r="C28" s="85">
        <v>0.95</v>
      </c>
      <c r="D28" s="149">
        <v>0.99178870940276354</v>
      </c>
      <c r="E28" s="86" t="s">
        <v>202</v>
      </c>
    </row>
    <row r="29" spans="1:5" ht="15.75" customHeight="1" x14ac:dyDescent="0.25">
      <c r="A29" s="52" t="s">
        <v>58</v>
      </c>
      <c r="B29" s="85">
        <v>0.89599999999999991</v>
      </c>
      <c r="C29" s="85">
        <v>0.95</v>
      </c>
      <c r="D29" s="149">
        <v>132.31394293530053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9">
        <v>279.8841983332307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9">
        <v>279.8841983332307</v>
      </c>
      <c r="E31" s="86" t="s">
        <v>202</v>
      </c>
    </row>
    <row r="32" spans="1:5" ht="15.75" customHeight="1" x14ac:dyDescent="0.25">
      <c r="A32" s="52" t="s">
        <v>28</v>
      </c>
      <c r="B32" s="85">
        <v>0</v>
      </c>
      <c r="C32" s="85">
        <v>0.95</v>
      </c>
      <c r="D32" s="149">
        <v>1.9566915430729113</v>
      </c>
      <c r="E32" s="86" t="s">
        <v>202</v>
      </c>
    </row>
    <row r="33" spans="1:6" ht="15.75" customHeight="1" x14ac:dyDescent="0.25">
      <c r="A33" s="52" t="s">
        <v>83</v>
      </c>
      <c r="B33" s="85">
        <v>0.98599999999999999</v>
      </c>
      <c r="C33" s="85">
        <v>0.95</v>
      </c>
      <c r="D33" s="149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0.25700000000000001</v>
      </c>
      <c r="C34" s="85">
        <v>0.95</v>
      </c>
      <c r="D34" s="149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0.96400000000000008</v>
      </c>
      <c r="C35" s="85">
        <v>0.95</v>
      </c>
      <c r="D35" s="149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0.99199999999999999</v>
      </c>
      <c r="C36" s="85">
        <v>0.95</v>
      </c>
      <c r="D36" s="149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0.93900000000000006</v>
      </c>
      <c r="C37" s="85">
        <v>0.95</v>
      </c>
      <c r="D37" s="149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9">
        <v>2.1155523526335349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9">
        <v>1.9778137491873509</v>
      </c>
      <c r="E39" s="86" t="s">
        <v>202</v>
      </c>
    </row>
    <row r="40" spans="1:6" ht="15.75" customHeight="1" x14ac:dyDescent="0.25">
      <c r="F40" s="36"/>
    </row>
  </sheetData>
  <sheetProtection algorithmName="SHA-512" hashValue="+6wi5fkoJF6Qz9k1DnxZUlNKmWg7kodkedVnx77A3BhbQcVZfGhdaShFh4ofybi2nqYW0k0D3bmX1iOSdksywA==" saltValue="tmWXOyq7VZVYcjtNcmIf7A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2020-07-16T02:36:26Z</dcterms:modified>
</cp:coreProperties>
</file>