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UB\"/>
    </mc:Choice>
  </mc:AlternateContent>
  <xr:revisionPtr revIDLastSave="0" documentId="8_{C01FAD4F-0D6D-4A6A-8176-3485A7A84529}" xr6:coauthVersionLast="45" xr6:coauthVersionMax="45" xr10:uidLastSave="{00000000-0000-0000-0000-000000000000}"/>
  <bookViews>
    <workbookView xWindow="1152" yWindow="1152" windowWidth="13824" windowHeight="7176" tabRatio="841" firstSheet="10" activeTab="2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G10" i="21"/>
  <c r="F10" i="21"/>
  <c r="E10" i="21"/>
  <c r="D10" i="21"/>
  <c r="G9" i="21"/>
  <c r="F9" i="21"/>
  <c r="E9" i="21"/>
  <c r="D9" i="21"/>
  <c r="F8" i="21"/>
  <c r="E8" i="21"/>
  <c r="G7" i="21"/>
  <c r="F7" i="21"/>
  <c r="E7" i="21"/>
  <c r="D7" i="21"/>
  <c r="C7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D53" i="72" l="1"/>
  <c r="E51" i="72"/>
  <c r="F51" i="72"/>
  <c r="G51" i="72"/>
  <c r="H51" i="72"/>
  <c r="D51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6" i="72"/>
  <c r="H16" i="72"/>
  <c r="F16" i="72"/>
  <c r="G14" i="72"/>
  <c r="H14" i="72"/>
  <c r="F14" i="72"/>
  <c r="G3" i="72"/>
  <c r="H3" i="72"/>
  <c r="G4" i="72"/>
  <c r="H4" i="72"/>
  <c r="F4" i="72"/>
  <c r="F3" i="72"/>
  <c r="E5" i="71"/>
  <c r="F5" i="71"/>
  <c r="G5" i="71"/>
  <c r="D5" i="71"/>
  <c r="E3" i="71"/>
  <c r="F3" i="71"/>
  <c r="G3" i="71"/>
  <c r="D3" i="71"/>
  <c r="G34" i="65"/>
  <c r="F34" i="65"/>
  <c r="G32" i="65"/>
  <c r="G31" i="65"/>
  <c r="F29" i="65"/>
  <c r="F28" i="65"/>
  <c r="D5" i="65"/>
  <c r="D17" i="65"/>
  <c r="E17" i="65"/>
  <c r="F17" i="65"/>
  <c r="G17" i="65"/>
  <c r="G15" i="65"/>
  <c r="G14" i="65"/>
  <c r="F12" i="65"/>
  <c r="F11" i="65"/>
  <c r="E9" i="65"/>
  <c r="E8" i="65"/>
  <c r="D6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E6" i="68"/>
  <c r="D11" i="68"/>
  <c r="C11" i="68"/>
  <c r="E7" i="68"/>
  <c r="F7" i="68"/>
  <c r="F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 s="1"/>
  <c r="G16" i="2"/>
  <c r="H16" i="2"/>
  <c r="I16" i="2" s="1"/>
  <c r="G17" i="2"/>
  <c r="H17" i="2"/>
  <c r="G18" i="2"/>
  <c r="H18" i="2"/>
  <c r="I18" i="2" s="1"/>
  <c r="G19" i="2"/>
  <c r="H19" i="2"/>
  <c r="I19" i="2" s="1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/>
  <c r="G25" i="2"/>
  <c r="H25" i="2"/>
  <c r="I25" i="2" s="1"/>
  <c r="G26" i="2"/>
  <c r="H26" i="2"/>
  <c r="I26" i="2" s="1"/>
  <c r="G27" i="2"/>
  <c r="H27" i="2"/>
  <c r="I27" i="2" s="1"/>
  <c r="G28" i="2"/>
  <c r="H28" i="2"/>
  <c r="I28" i="2" s="1"/>
  <c r="G29" i="2"/>
  <c r="H29" i="2"/>
  <c r="I29" i="2" s="1"/>
  <c r="G30" i="2"/>
  <c r="H30" i="2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30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H4" i="2"/>
  <c r="H5" i="2"/>
  <c r="I5" i="2" s="1"/>
  <c r="H6" i="2"/>
  <c r="H7" i="2"/>
  <c r="I7" i="2" s="1"/>
  <c r="H8" i="2"/>
  <c r="H9" i="2"/>
  <c r="H10" i="2"/>
  <c r="H11" i="2"/>
  <c r="H12" i="2"/>
  <c r="H13" i="2"/>
  <c r="H14" i="2"/>
  <c r="H15" i="2"/>
  <c r="I15" i="2" s="1"/>
  <c r="C20" i="1"/>
  <c r="G3" i="2"/>
  <c r="G4" i="2"/>
  <c r="I4" i="2"/>
  <c r="G5" i="2"/>
  <c r="G6" i="2"/>
  <c r="G7" i="2"/>
  <c r="G8" i="2"/>
  <c r="G9" i="2"/>
  <c r="G10" i="2"/>
  <c r="G11" i="2"/>
  <c r="I11" i="2" s="1"/>
  <c r="G12" i="2"/>
  <c r="I12" i="2"/>
  <c r="G13" i="2"/>
  <c r="I13" i="2" s="1"/>
  <c r="G14" i="2"/>
  <c r="I14" i="2" s="1"/>
  <c r="G15" i="2"/>
  <c r="G2" i="2"/>
  <c r="I17" i="2"/>
  <c r="I9" i="2" l="1"/>
  <c r="I2" i="2"/>
  <c r="I10" i="2"/>
  <c r="A14" i="2"/>
  <c r="I6" i="2"/>
  <c r="A26" i="2"/>
  <c r="I8" i="2"/>
  <c r="I3" i="2"/>
  <c r="I20" i="2"/>
  <c r="A29" i="2"/>
  <c r="A25" i="2"/>
  <c r="A37" i="2"/>
  <c r="A27" i="2"/>
  <c r="A3" i="2"/>
  <c r="A4" i="2" s="1"/>
  <c r="A5" i="2" s="1"/>
  <c r="A6" i="2" s="1"/>
  <c r="A7" i="2" s="1"/>
  <c r="A8" i="2" s="1"/>
  <c r="A9" i="2" s="1"/>
  <c r="A10" i="2" s="1"/>
  <c r="A11" i="2" s="1"/>
  <c r="A12" i="2" s="1"/>
  <c r="A40" i="2"/>
  <c r="A30" i="2"/>
  <c r="A33" i="2"/>
  <c r="A21" i="2"/>
  <c r="A31" i="2"/>
  <c r="A32" i="2"/>
  <c r="A35" i="2"/>
  <c r="A20" i="2"/>
  <c r="A16" i="2"/>
  <c r="A13" i="2"/>
  <c r="A17" i="2"/>
  <c r="A28" i="2"/>
  <c r="A22" i="2"/>
  <c r="A38" i="2"/>
  <c r="A39" i="2"/>
  <c r="A19" i="2"/>
  <c r="A24" i="2"/>
  <c r="A18" i="2"/>
  <c r="A15" i="2"/>
  <c r="A23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7CC64E11-F571-49D2-B99C-8CC19ECB283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54D67194-598A-4F42-BBA1-EE210490C55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2B3B4250-D40B-4445-A601-44B4B88A118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94CA1F21-9347-4178-A896-8A85B842E8F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8CA40E0-CA1E-496C-B177-249867D29995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5" authorId="0" shapeId="0" xr:uid="{14B8E66B-C2CC-4505-8834-9CF77C2ED1CA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7" authorId="0" shapeId="0" xr:uid="{D4A0BDA5-C4E0-4A7F-BDE5-7D66ACAB08F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<sst xmlns="http://schemas.openxmlformats.org/spreadsheetml/2006/main" count="1120" uniqueCount="273">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</sst>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9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208053</v>
      </c>
    </row>
    <row r="8" spans="1:3" ht="15" customHeight="1" x14ac:dyDescent="0.25">
      <c r="B8" s="7" t="s">
        <v>106</v>
      </c>
      <c r="C8" s="70">
        <v>0.307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0.63727569580078092</v>
      </c>
    </row>
    <row r="11" spans="1:3" ht="15" customHeight="1" x14ac:dyDescent="0.25">
      <c r="B11" s="7" t="s">
        <v>108</v>
      </c>
      <c r="C11" s="70">
        <v>0.76700000000000002</v>
      </c>
    </row>
    <row r="12" spans="1:3" ht="15" customHeight="1" x14ac:dyDescent="0.25">
      <c r="B12" s="7" t="s">
        <v>109</v>
      </c>
      <c r="C12" s="70">
        <v>0.70900000000000007</v>
      </c>
    </row>
    <row r="13" spans="1:3" ht="15" customHeight="1" x14ac:dyDescent="0.25">
      <c r="B13" s="7" t="s">
        <v>110</v>
      </c>
      <c r="C13" s="70">
        <v>0.53900000000000003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0.05</v>
      </c>
    </row>
    <row r="24" spans="1:3" ht="15" customHeight="1" x14ac:dyDescent="0.25">
      <c r="B24" s="20" t="s">
        <v>102</v>
      </c>
      <c r="C24" s="71">
        <v>0.46779999999999999</v>
      </c>
    </row>
    <row r="25" spans="1:3" ht="15" customHeight="1" x14ac:dyDescent="0.25">
      <c r="B25" s="20" t="s">
        <v>103</v>
      </c>
      <c r="C25" s="71">
        <v>0.38689999999999997</v>
      </c>
    </row>
    <row r="26" spans="1:3" ht="15" customHeight="1" x14ac:dyDescent="0.25">
      <c r="B26" s="20" t="s">
        <v>104</v>
      </c>
      <c r="C26" s="71">
        <v>9.530000000000001E-2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0.192</v>
      </c>
    </row>
    <row r="30" spans="1:3" ht="14.25" customHeight="1" x14ac:dyDescent="0.25">
      <c r="B30" s="30" t="s">
        <v>76</v>
      </c>
      <c r="C30" s="73">
        <v>6.9000000000000006E-2</v>
      </c>
    </row>
    <row r="31" spans="1:3" ht="14.25" customHeight="1" x14ac:dyDescent="0.25">
      <c r="B31" s="30" t="s">
        <v>77</v>
      </c>
      <c r="C31" s="73">
        <v>0.122</v>
      </c>
    </row>
    <row r="32" spans="1:3" ht="14.25" customHeight="1" x14ac:dyDescent="0.25">
      <c r="B32" s="30" t="s">
        <v>78</v>
      </c>
      <c r="C32" s="73">
        <v>0.6169999999850988</v>
      </c>
    </row>
    <row r="33" spans="1:5" ht="13.2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20.7</v>
      </c>
    </row>
    <row r="38" spans="1:5" ht="15" customHeight="1" x14ac:dyDescent="0.25">
      <c r="B38" s="16" t="s">
        <v>91</v>
      </c>
      <c r="C38" s="75">
        <v>40.799999999999997</v>
      </c>
      <c r="D38" s="17"/>
      <c r="E38" s="18"/>
    </row>
    <row r="39" spans="1:5" ht="15" customHeight="1" x14ac:dyDescent="0.25">
      <c r="B39" s="16" t="s">
        <v>90</v>
      </c>
      <c r="C39" s="75">
        <v>47.6</v>
      </c>
      <c r="D39" s="17"/>
      <c r="E39" s="17"/>
    </row>
    <row r="40" spans="1:5" ht="15" customHeight="1" x14ac:dyDescent="0.25">
      <c r="B40" s="16" t="s">
        <v>171</v>
      </c>
      <c r="C40" s="75">
        <v>3.68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17.8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2.7000000000000003E-2</v>
      </c>
      <c r="D45" s="17"/>
    </row>
    <row r="46" spans="1:5" ht="15.75" customHeight="1" x14ac:dyDescent="0.25">
      <c r="B46" s="16" t="s">
        <v>11</v>
      </c>
      <c r="C46" s="71">
        <v>9.35E-2</v>
      </c>
      <c r="D46" s="17"/>
    </row>
    <row r="47" spans="1:5" ht="15.75" customHeight="1" x14ac:dyDescent="0.25">
      <c r="B47" s="16" t="s">
        <v>12</v>
      </c>
      <c r="C47" s="71">
        <v>0.23620000000000002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0.64329999999999998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2.6463538219675002</v>
      </c>
      <c r="D51" s="17"/>
    </row>
    <row r="52" spans="1:4" ht="15" customHeight="1" x14ac:dyDescent="0.25">
      <c r="B52" s="16" t="s">
        <v>125</v>
      </c>
      <c r="C52" s="76">
        <v>2.5573027489900002</v>
      </c>
    </row>
    <row r="53" spans="1:4" ht="15.75" customHeight="1" x14ac:dyDescent="0.25">
      <c r="B53" s="16" t="s">
        <v>126</v>
      </c>
      <c r="C53" s="76">
        <v>2.5573027489900002</v>
      </c>
    </row>
    <row r="54" spans="1:4" ht="15.75" customHeight="1" x14ac:dyDescent="0.25">
      <c r="B54" s="16" t="s">
        <v>127</v>
      </c>
      <c r="C54" s="76">
        <v>1.8550822462399998</v>
      </c>
    </row>
    <row r="55" spans="1:4" ht="15.75" customHeight="1" x14ac:dyDescent="0.25">
      <c r="B55" s="16" t="s">
        <v>128</v>
      </c>
      <c r="C55" s="76">
        <v>1.8550822462399998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2.1759475900795508E-2</v>
      </c>
    </row>
    <row r="59" spans="1:4" ht="15.75" customHeight="1" x14ac:dyDescent="0.25">
      <c r="B59" s="16" t="s">
        <v>132</v>
      </c>
      <c r="C59" s="70">
        <v>0.57312156328470099</v>
      </c>
    </row>
    <row r="60" spans="1:4" ht="15.75" customHeight="1" x14ac:dyDescent="0.25">
      <c r="B60" s="7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QX24OreDkWEPzfhatPxGhPVfzKGI1NUomNIL7d1I1PqSvO7+Lz2R6erFxUvvwbiE2eL3ChnrcTE/GXAob545+g==" saltValue="Ug9jUuUCSuE9CjaA9Hu+jQ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20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46507.936999999998</v>
      </c>
      <c r="C2" s="78">
        <v>76000</v>
      </c>
      <c r="D2" s="78">
        <v>120000</v>
      </c>
      <c r="E2" s="78">
        <v>541000</v>
      </c>
      <c r="F2" s="78">
        <v>380000</v>
      </c>
      <c r="G2" s="22">
        <f t="shared" ref="G2:G40" si="0">C2+D2+E2+F2</f>
        <v>1117000</v>
      </c>
      <c r="H2" s="22">
        <f t="shared" ref="H2:H40" si="1">(B2 + stillbirth*B2/(1000-stillbirth))/(1-abortion)</f>
        <v>54426.184942552143</v>
      </c>
      <c r="I2" s="22">
        <f>G2-H2</f>
        <v>1062573.8150574479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47151.104800000001</v>
      </c>
      <c r="C3" s="78">
        <v>77000</v>
      </c>
      <c r="D3" s="78">
        <v>125000</v>
      </c>
      <c r="E3" s="78">
        <v>553000</v>
      </c>
      <c r="F3" s="78">
        <v>394000</v>
      </c>
      <c r="G3" s="22">
        <f t="shared" si="0"/>
        <v>1149000</v>
      </c>
      <c r="H3" s="22">
        <f t="shared" si="1"/>
        <v>55178.855817458811</v>
      </c>
      <c r="I3" s="22">
        <f t="shared" ref="I3:I15" si="3">G3-H3</f>
        <v>1093821.1441825412</v>
      </c>
    </row>
    <row r="4" spans="1:9" ht="15.75" customHeight="1" x14ac:dyDescent="0.25">
      <c r="A4" s="7">
        <f t="shared" si="2"/>
        <v>2022</v>
      </c>
      <c r="B4" s="77">
        <v>47811.817200000005</v>
      </c>
      <c r="C4" s="78">
        <v>79000</v>
      </c>
      <c r="D4" s="78">
        <v>129000</v>
      </c>
      <c r="E4" s="78">
        <v>563000</v>
      </c>
      <c r="F4" s="78">
        <v>408000</v>
      </c>
      <c r="G4" s="22">
        <f t="shared" si="0"/>
        <v>1179000</v>
      </c>
      <c r="H4" s="22">
        <f t="shared" si="1"/>
        <v>55952.058362999327</v>
      </c>
      <c r="I4" s="22">
        <f t="shared" si="3"/>
        <v>1123047.9416370008</v>
      </c>
    </row>
    <row r="5" spans="1:9" ht="15.75" customHeight="1" x14ac:dyDescent="0.25">
      <c r="A5" s="7">
        <f t="shared" si="2"/>
        <v>2023</v>
      </c>
      <c r="B5" s="77">
        <v>48456.397200000014</v>
      </c>
      <c r="C5" s="78">
        <v>82000</v>
      </c>
      <c r="D5" s="78">
        <v>132000</v>
      </c>
      <c r="E5" s="78">
        <v>575000</v>
      </c>
      <c r="F5" s="78">
        <v>422000</v>
      </c>
      <c r="G5" s="22">
        <f t="shared" si="0"/>
        <v>1211000</v>
      </c>
      <c r="H5" s="22">
        <f t="shared" si="1"/>
        <v>56706.381873205137</v>
      </c>
      <c r="I5" s="22">
        <f t="shared" si="3"/>
        <v>1154293.6181267949</v>
      </c>
    </row>
    <row r="6" spans="1:9" ht="15.75" customHeight="1" x14ac:dyDescent="0.25">
      <c r="A6" s="7">
        <f t="shared" si="2"/>
        <v>2024</v>
      </c>
      <c r="B6" s="77">
        <v>49084.844800000013</v>
      </c>
      <c r="C6" s="78">
        <v>84000</v>
      </c>
      <c r="D6" s="78">
        <v>136000</v>
      </c>
      <c r="E6" s="78">
        <v>586000</v>
      </c>
      <c r="F6" s="78">
        <v>436000</v>
      </c>
      <c r="G6" s="22">
        <f t="shared" si="0"/>
        <v>1242000</v>
      </c>
      <c r="H6" s="22">
        <f t="shared" si="1"/>
        <v>57441.826348076233</v>
      </c>
      <c r="I6" s="22">
        <f t="shared" si="3"/>
        <v>1184558.1736519237</v>
      </c>
    </row>
    <row r="7" spans="1:9" ht="15.75" customHeight="1" x14ac:dyDescent="0.25">
      <c r="A7" s="7">
        <f t="shared" si="2"/>
        <v>2025</v>
      </c>
      <c r="B7" s="77">
        <v>49729.536</v>
      </c>
      <c r="C7" s="78">
        <v>87000</v>
      </c>
      <c r="D7" s="78">
        <v>139000</v>
      </c>
      <c r="E7" s="78">
        <v>598000</v>
      </c>
      <c r="F7" s="78">
        <v>449000</v>
      </c>
      <c r="G7" s="22">
        <f t="shared" si="0"/>
        <v>1273000</v>
      </c>
      <c r="H7" s="22">
        <f t="shared" si="1"/>
        <v>58196.279990731571</v>
      </c>
      <c r="I7" s="22">
        <f t="shared" si="3"/>
        <v>1214803.7200092685</v>
      </c>
    </row>
    <row r="8" spans="1:9" ht="15.75" customHeight="1" x14ac:dyDescent="0.25">
      <c r="A8" s="7">
        <f t="shared" si="2"/>
        <v>2026</v>
      </c>
      <c r="B8" s="77">
        <v>50264.483999999997</v>
      </c>
      <c r="C8" s="78">
        <v>89000</v>
      </c>
      <c r="D8" s="78">
        <v>141000</v>
      </c>
      <c r="E8" s="78">
        <v>609000</v>
      </c>
      <c r="F8" s="78">
        <v>462000</v>
      </c>
      <c r="G8" s="22">
        <f t="shared" si="0"/>
        <v>1301000</v>
      </c>
      <c r="H8" s="22">
        <f t="shared" si="1"/>
        <v>58822.306012540459</v>
      </c>
      <c r="I8" s="22">
        <f t="shared" si="3"/>
        <v>1242177.6939874596</v>
      </c>
    </row>
    <row r="9" spans="1:9" ht="15.75" customHeight="1" x14ac:dyDescent="0.25">
      <c r="A9" s="7">
        <f t="shared" si="2"/>
        <v>2027</v>
      </c>
      <c r="B9" s="77">
        <v>50776.991999999998</v>
      </c>
      <c r="C9" s="78">
        <v>91000</v>
      </c>
      <c r="D9" s="78">
        <v>143000</v>
      </c>
      <c r="E9" s="78">
        <v>620000</v>
      </c>
      <c r="F9" s="78">
        <v>475000</v>
      </c>
      <c r="G9" s="22">
        <f t="shared" si="0"/>
        <v>1329000</v>
      </c>
      <c r="H9" s="22">
        <f t="shared" si="1"/>
        <v>59422.071493269861</v>
      </c>
      <c r="I9" s="22">
        <f t="shared" si="3"/>
        <v>1269577.9285067301</v>
      </c>
    </row>
    <row r="10" spans="1:9" ht="15.75" customHeight="1" x14ac:dyDescent="0.25">
      <c r="A10" s="7">
        <f t="shared" si="2"/>
        <v>2028</v>
      </c>
      <c r="B10" s="77">
        <v>51298.415999999997</v>
      </c>
      <c r="C10" s="78">
        <v>92000</v>
      </c>
      <c r="D10" s="78">
        <v>145000</v>
      </c>
      <c r="E10" s="78">
        <v>633000</v>
      </c>
      <c r="F10" s="78">
        <v>488000</v>
      </c>
      <c r="G10" s="22">
        <f t="shared" si="0"/>
        <v>1358000</v>
      </c>
      <c r="H10" s="22">
        <f t="shared" si="1"/>
        <v>60032.270975080566</v>
      </c>
      <c r="I10" s="22">
        <f t="shared" si="3"/>
        <v>1297967.7290249194</v>
      </c>
    </row>
    <row r="11" spans="1:9" ht="15.75" customHeight="1" x14ac:dyDescent="0.25">
      <c r="A11" s="7">
        <f t="shared" si="2"/>
        <v>2029</v>
      </c>
      <c r="B11" s="77">
        <v>51796.72</v>
      </c>
      <c r="C11" s="78">
        <v>94000</v>
      </c>
      <c r="D11" s="78">
        <v>148000</v>
      </c>
      <c r="E11" s="78">
        <v>647000</v>
      </c>
      <c r="F11" s="78">
        <v>501000</v>
      </c>
      <c r="G11" s="22">
        <f t="shared" si="0"/>
        <v>1390000</v>
      </c>
      <c r="H11" s="22">
        <f t="shared" si="1"/>
        <v>60615.41414183969</v>
      </c>
      <c r="I11" s="22">
        <f t="shared" si="3"/>
        <v>1329384.5858581604</v>
      </c>
    </row>
    <row r="12" spans="1:9" ht="15.75" customHeight="1" x14ac:dyDescent="0.25">
      <c r="A12" s="7">
        <f t="shared" si="2"/>
        <v>2030</v>
      </c>
      <c r="B12" s="77">
        <v>52271.904000000002</v>
      </c>
      <c r="C12" s="78">
        <v>96000</v>
      </c>
      <c r="D12" s="78">
        <v>150000</v>
      </c>
      <c r="E12" s="78">
        <v>664000</v>
      </c>
      <c r="F12" s="78">
        <v>513000</v>
      </c>
      <c r="G12" s="22">
        <f t="shared" si="0"/>
        <v>1423000</v>
      </c>
      <c r="H12" s="22">
        <f t="shared" si="1"/>
        <v>61171.500993547212</v>
      </c>
      <c r="I12" s="22">
        <f t="shared" si="3"/>
        <v>1361828.4990064527</v>
      </c>
    </row>
    <row r="13" spans="1:9" ht="15.75" customHeight="1" x14ac:dyDescent="0.25">
      <c r="A13" s="7" t="str">
        <f t="shared" si="2"/>
        <v/>
      </c>
      <c r="B13" s="77">
        <v>75000</v>
      </c>
      <c r="C13" s="78">
        <v>114000</v>
      </c>
      <c r="D13" s="78">
        <v>528000</v>
      </c>
      <c r="E13" s="78">
        <v>367000</v>
      </c>
      <c r="F13" s="78">
        <v>2.2022893500000001E-2</v>
      </c>
      <c r="G13" s="22">
        <f t="shared" si="0"/>
        <v>1009000.0220228935</v>
      </c>
      <c r="H13" s="22">
        <f t="shared" si="1"/>
        <v>87769.1880999024</v>
      </c>
      <c r="I13" s="22">
        <f t="shared" si="3"/>
        <v>921230.83392299118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1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2.2022893500000001E-2</v>
      </c>
    </row>
    <row r="4" spans="1:8" ht="15.75" customHeight="1" x14ac:dyDescent="0.25">
      <c r="B4" s="24" t="s">
        <v>7</v>
      </c>
      <c r="C4" s="79">
        <v>0.14811197956837813</v>
      </c>
    </row>
    <row r="5" spans="1:8" ht="15.75" customHeight="1" x14ac:dyDescent="0.25">
      <c r="B5" s="24" t="s">
        <v>8</v>
      </c>
      <c r="C5" s="79">
        <v>0.11639554773423692</v>
      </c>
    </row>
    <row r="6" spans="1:8" ht="15.75" customHeight="1" x14ac:dyDescent="0.25">
      <c r="B6" s="24" t="s">
        <v>10</v>
      </c>
      <c r="C6" s="79">
        <v>0.11828868577428105</v>
      </c>
    </row>
    <row r="7" spans="1:8" ht="15.75" customHeight="1" x14ac:dyDescent="0.25">
      <c r="B7" s="24" t="s">
        <v>13</v>
      </c>
      <c r="C7" s="79">
        <v>0.25447579338959925</v>
      </c>
    </row>
    <row r="8" spans="1:8" ht="15.75" customHeight="1" x14ac:dyDescent="0.25">
      <c r="B8" s="24" t="s">
        <v>14</v>
      </c>
      <c r="C8" s="79">
        <v>2.5909074779199132E-3</v>
      </c>
    </row>
    <row r="9" spans="1:8" ht="15.75" customHeight="1" x14ac:dyDescent="0.25">
      <c r="B9" s="24" t="s">
        <v>27</v>
      </c>
      <c r="C9" s="79">
        <v>0.16861596210538399</v>
      </c>
    </row>
    <row r="10" spans="1:8" ht="15.75" customHeight="1" x14ac:dyDescent="0.25">
      <c r="B10" s="24" t="s">
        <v>15</v>
      </c>
      <c r="C10" s="79">
        <v>0.16949823045020074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0.10642646490407399</v>
      </c>
      <c r="D14" s="79">
        <v>0.10642646490407399</v>
      </c>
      <c r="E14" s="79">
        <v>0.112138684092456</v>
      </c>
      <c r="F14" s="79">
        <v>0.112138684092456</v>
      </c>
    </row>
    <row r="15" spans="1:8" ht="15.75" customHeight="1" x14ac:dyDescent="0.25">
      <c r="B15" s="24" t="s">
        <v>16</v>
      </c>
      <c r="C15" s="79">
        <v>0.37850296014790502</v>
      </c>
      <c r="D15" s="79">
        <v>0.37850296014790502</v>
      </c>
      <c r="E15" s="79">
        <v>0.24570292361294199</v>
      </c>
      <c r="F15" s="79">
        <v>0.24570292361294199</v>
      </c>
    </row>
    <row r="16" spans="1:8" ht="15.75" customHeight="1" x14ac:dyDescent="0.25">
      <c r="B16" s="24" t="s">
        <v>17</v>
      </c>
      <c r="C16" s="79">
        <v>4.1169503354516704E-2</v>
      </c>
      <c r="D16" s="79">
        <v>4.1169503354516704E-2</v>
      </c>
      <c r="E16" s="79">
        <v>3.0501382414109001E-2</v>
      </c>
      <c r="F16" s="79">
        <v>3.0501382414109001E-2</v>
      </c>
    </row>
    <row r="17" spans="1:8" ht="15.75" customHeight="1" x14ac:dyDescent="0.25">
      <c r="B17" s="24" t="s">
        <v>18</v>
      </c>
      <c r="C17" s="79">
        <v>2.8735551608615201E-3</v>
      </c>
      <c r="D17" s="79">
        <v>2.8735551608615201E-3</v>
      </c>
      <c r="E17" s="79">
        <v>1.2432779555789399E-2</v>
      </c>
      <c r="F17" s="79">
        <v>1.2432779555789399E-2</v>
      </c>
    </row>
    <row r="18" spans="1:8" ht="15.75" customHeight="1" x14ac:dyDescent="0.25">
      <c r="B18" s="24" t="s">
        <v>19</v>
      </c>
      <c r="C18" s="79">
        <v>3.8558419592564004E-4</v>
      </c>
      <c r="D18" s="79">
        <v>3.8558419592564004E-4</v>
      </c>
      <c r="E18" s="79">
        <v>4.8451166335659602E-4</v>
      </c>
      <c r="F18" s="79">
        <v>4.8451166335659602E-4</v>
      </c>
    </row>
    <row r="19" spans="1:8" ht="15.75" customHeight="1" x14ac:dyDescent="0.25">
      <c r="B19" s="24" t="s">
        <v>20</v>
      </c>
      <c r="C19" s="79">
        <v>2.00985821288257E-2</v>
      </c>
      <c r="D19" s="79">
        <v>2.00985821288257E-2</v>
      </c>
      <c r="E19" s="79">
        <v>3.6779454055091497E-2</v>
      </c>
      <c r="F19" s="79">
        <v>3.6779454055091497E-2</v>
      </c>
    </row>
    <row r="20" spans="1:8" ht="15.75" customHeight="1" x14ac:dyDescent="0.25">
      <c r="B20" s="24" t="s">
        <v>21</v>
      </c>
      <c r="C20" s="79">
        <v>2.1121706912781601E-2</v>
      </c>
      <c r="D20" s="79">
        <v>2.1121706912781601E-2</v>
      </c>
      <c r="E20" s="79">
        <v>0.12939197196403801</v>
      </c>
      <c r="F20" s="79">
        <v>0.12939197196403801</v>
      </c>
    </row>
    <row r="21" spans="1:8" ht="15.75" customHeight="1" x14ac:dyDescent="0.25">
      <c r="B21" s="24" t="s">
        <v>22</v>
      </c>
      <c r="C21" s="79">
        <v>5.20081064887081E-2</v>
      </c>
      <c r="D21" s="79">
        <v>5.20081064887081E-2</v>
      </c>
      <c r="E21" s="79">
        <v>0.142364776306909</v>
      </c>
      <c r="F21" s="79">
        <v>0.142364776306909</v>
      </c>
    </row>
    <row r="22" spans="1:8" ht="15.75" customHeight="1" x14ac:dyDescent="0.25">
      <c r="B22" s="24" t="s">
        <v>23</v>
      </c>
      <c r="C22" s="79">
        <v>0.37741353670640176</v>
      </c>
      <c r="D22" s="79">
        <v>0.37741353670640176</v>
      </c>
      <c r="E22" s="79">
        <v>0.2902035163353085</v>
      </c>
      <c r="F22" s="79">
        <v>0.2902035163353085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4.8000000000000001E-2</v>
      </c>
    </row>
    <row r="27" spans="1:8" ht="15.75" customHeight="1" x14ac:dyDescent="0.25">
      <c r="B27" s="24" t="s">
        <v>39</v>
      </c>
      <c r="C27" s="79">
        <v>1.9099999999999999E-2</v>
      </c>
    </row>
    <row r="28" spans="1:8" ht="15.75" customHeight="1" x14ac:dyDescent="0.25">
      <c r="B28" s="24" t="s">
        <v>40</v>
      </c>
      <c r="C28" s="79">
        <v>0.22940000000000002</v>
      </c>
    </row>
    <row r="29" spans="1:8" ht="15.75" customHeight="1" x14ac:dyDescent="0.25">
      <c r="B29" s="24" t="s">
        <v>41</v>
      </c>
      <c r="C29" s="79">
        <v>0.1384</v>
      </c>
    </row>
    <row r="30" spans="1:8" ht="15.75" customHeight="1" x14ac:dyDescent="0.25">
      <c r="B30" s="24" t="s">
        <v>42</v>
      </c>
      <c r="C30" s="79">
        <v>5.0099999999999999E-2</v>
      </c>
    </row>
    <row r="31" spans="1:8" ht="15.75" customHeight="1" x14ac:dyDescent="0.25">
      <c r="B31" s="24" t="s">
        <v>43</v>
      </c>
      <c r="C31" s="79">
        <v>7.0300000000000001E-2</v>
      </c>
    </row>
    <row r="32" spans="1:8" ht="15.75" customHeight="1" x14ac:dyDescent="0.25">
      <c r="B32" s="24" t="s">
        <v>44</v>
      </c>
      <c r="C32" s="79">
        <v>0.14899999999999999</v>
      </c>
    </row>
    <row r="33" spans="2:3" ht="15.75" customHeight="1" x14ac:dyDescent="0.25">
      <c r="B33" s="24" t="s">
        <v>45</v>
      </c>
      <c r="C33" s="79">
        <v>0.12240000000000001</v>
      </c>
    </row>
    <row r="34" spans="2:3" ht="15.75" customHeight="1" x14ac:dyDescent="0.25">
      <c r="B34" s="24" t="s">
        <v>46</v>
      </c>
      <c r="C34" s="79">
        <v>0.17329999999999998</v>
      </c>
    </row>
    <row r="35" spans="2:3" ht="15.75" customHeight="1" x14ac:dyDescent="0.25">
      <c r="B35" s="32" t="s">
        <v>129</v>
      </c>
      <c r="C35" s="74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topLeftCell="C1"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0.7274980178680851</v>
      </c>
      <c r="D2" s="80">
        <v>0.7274980178680851</v>
      </c>
      <c r="E2" s="80">
        <v>0.60312696659751031</v>
      </c>
      <c r="F2" s="80">
        <v>0.3013106984554455</v>
      </c>
      <c r="G2" s="80">
        <v>0.16691127498375571</v>
      </c>
    </row>
    <row r="3" spans="1:15" ht="15.75" customHeight="1" x14ac:dyDescent="0.25">
      <c r="A3" s="5"/>
      <c r="B3" s="11" t="s">
        <v>118</v>
      </c>
      <c r="C3" s="80">
        <v>0.18673745913191486</v>
      </c>
      <c r="D3" s="80">
        <v>0.18673745913191486</v>
      </c>
      <c r="E3" s="80">
        <v>0.21193994340248959</v>
      </c>
      <c r="F3" s="80">
        <v>0.19595042154455444</v>
      </c>
      <c r="G3" s="80">
        <v>0.13458690834957765</v>
      </c>
    </row>
    <row r="4" spans="1:15" ht="15.75" customHeight="1" x14ac:dyDescent="0.25">
      <c r="A4" s="5"/>
      <c r="B4" s="11" t="s">
        <v>116</v>
      </c>
      <c r="C4" s="81">
        <v>3.1187099272727278E-2</v>
      </c>
      <c r="D4" s="81">
        <v>3.1187099272727278E-2</v>
      </c>
      <c r="E4" s="81">
        <v>7.852444896013866E-2</v>
      </c>
      <c r="F4" s="81">
        <v>0.2130418224158416</v>
      </c>
      <c r="G4" s="81">
        <v>0.37247046838016912</v>
      </c>
    </row>
    <row r="5" spans="1:15" ht="15.75" customHeight="1" x14ac:dyDescent="0.25">
      <c r="A5" s="5"/>
      <c r="B5" s="11" t="s">
        <v>119</v>
      </c>
      <c r="C5" s="81">
        <v>5.4577423727272721E-2</v>
      </c>
      <c r="D5" s="81">
        <v>5.4577423727272721E-2</v>
      </c>
      <c r="E5" s="81">
        <v>0.10640864103986136</v>
      </c>
      <c r="F5" s="81">
        <v>0.28969705758415848</v>
      </c>
      <c r="G5" s="81">
        <v>0.3260313482864976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0.72681234864814803</v>
      </c>
      <c r="D8" s="80">
        <v>0.72681234864814803</v>
      </c>
      <c r="E8" s="80">
        <v>0.60024900848648655</v>
      </c>
      <c r="F8" s="80">
        <v>0.60211417510869569</v>
      </c>
      <c r="G8" s="80">
        <v>0.57525339007782106</v>
      </c>
    </row>
    <row r="9" spans="1:15" ht="15.75" customHeight="1" x14ac:dyDescent="0.25">
      <c r="B9" s="7" t="s">
        <v>121</v>
      </c>
      <c r="C9" s="80">
        <v>0.18592874035185183</v>
      </c>
      <c r="D9" s="80">
        <v>0.18592874035185183</v>
      </c>
      <c r="E9" s="80">
        <v>0.24420777151351353</v>
      </c>
      <c r="F9" s="80">
        <v>0.24360344489130434</v>
      </c>
      <c r="G9" s="80">
        <v>0.35455869325551226</v>
      </c>
    </row>
    <row r="10" spans="1:15" ht="15.75" customHeight="1" x14ac:dyDescent="0.25">
      <c r="B10" s="7" t="s">
        <v>122</v>
      </c>
      <c r="C10" s="81">
        <v>7.4182756000000002E-2</v>
      </c>
      <c r="D10" s="81">
        <v>7.4182756000000002E-2</v>
      </c>
      <c r="E10" s="81">
        <v>0.103872836</v>
      </c>
      <c r="F10" s="81">
        <v>0.12407534000000001</v>
      </c>
      <c r="G10" s="81">
        <v>5.7392397666666657E-2</v>
      </c>
    </row>
    <row r="11" spans="1:15" ht="15.75" customHeight="1" x14ac:dyDescent="0.25">
      <c r="B11" s="7" t="s">
        <v>123</v>
      </c>
      <c r="C11" s="81">
        <v>1.3076155000000001E-2</v>
      </c>
      <c r="D11" s="81">
        <v>1.3076155000000001E-2</v>
      </c>
      <c r="E11" s="81">
        <v>5.1670384E-2</v>
      </c>
      <c r="F11" s="81">
        <v>3.0207039999999998E-2</v>
      </c>
      <c r="G11" s="81">
        <v>1.2795519E-2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0.83210275624999996</v>
      </c>
      <c r="D14" s="82">
        <v>0.82560761370299995</v>
      </c>
      <c r="E14" s="82">
        <v>0.82560761370299995</v>
      </c>
      <c r="F14" s="82">
        <v>0.71009336219999997</v>
      </c>
      <c r="G14" s="82">
        <v>0.71009336219999997</v>
      </c>
      <c r="H14" s="83">
        <v>0.64500000000000002</v>
      </c>
      <c r="I14" s="83">
        <v>0.33605726872246694</v>
      </c>
      <c r="J14" s="83">
        <v>0.37786343612334805</v>
      </c>
      <c r="K14" s="83">
        <v>0.35696035242290747</v>
      </c>
      <c r="L14" s="83">
        <v>0.412843350793</v>
      </c>
      <c r="M14" s="83">
        <v>0.25025674296450001</v>
      </c>
      <c r="N14" s="83">
        <v>0.26567227106899999</v>
      </c>
      <c r="O14" s="83">
        <v>0.30104375484450002</v>
      </c>
    </row>
    <row r="15" spans="1:15" ht="15.75" customHeight="1" x14ac:dyDescent="0.25">
      <c r="B15" s="16" t="s">
        <v>68</v>
      </c>
      <c r="C15" s="80">
        <f>iron_deficiency_anaemia*C14</f>
        <v>0.47689603247550849</v>
      </c>
      <c r="D15" s="80">
        <f t="shared" ref="D15:O15" si="0">iron_deficiency_anaemia*D14</f>
        <v>0.47317352622521486</v>
      </c>
      <c r="E15" s="80">
        <f t="shared" si="0"/>
        <v>0.47317352622521486</v>
      </c>
      <c r="F15" s="80">
        <f t="shared" si="0"/>
        <v>0.40696981782215336</v>
      </c>
      <c r="G15" s="80">
        <f t="shared" si="0"/>
        <v>0.40696981782215336</v>
      </c>
      <c r="H15" s="80">
        <f t="shared" si="0"/>
        <v>0.36966340831863215</v>
      </c>
      <c r="I15" s="80">
        <f t="shared" si="0"/>
        <v>0.1926016672034071</v>
      </c>
      <c r="J15" s="80">
        <f t="shared" si="0"/>
        <v>0.21656168321914199</v>
      </c>
      <c r="K15" s="80">
        <f t="shared" si="0"/>
        <v>0.20458167521127452</v>
      </c>
      <c r="L15" s="80">
        <f t="shared" si="0"/>
        <v>0.23660942659817835</v>
      </c>
      <c r="M15" s="80">
        <f t="shared" si="0"/>
        <v>0.14342753575035183</v>
      </c>
      <c r="N15" s="80">
        <f t="shared" si="0"/>
        <v>0.1522625073164621</v>
      </c>
      <c r="O15" s="80">
        <f t="shared" si="0"/>
        <v>0.17253466739357612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0.502</v>
      </c>
      <c r="D2" s="81">
        <v>0.502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0.14099999999999999</v>
      </c>
      <c r="D3" s="81">
        <v>0.14199999999999999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0.21899999999999997</v>
      </c>
      <c r="D4" s="81">
        <v>0.21899999999999997</v>
      </c>
      <c r="E4" s="81">
        <v>0.72099999999999997</v>
      </c>
      <c r="F4" s="81">
        <v>0.71250000000000002</v>
      </c>
      <c r="G4" s="81">
        <v>0</v>
      </c>
    </row>
    <row r="5" spans="1:7" x14ac:dyDescent="0.25">
      <c r="B5" s="43" t="s">
        <v>169</v>
      </c>
      <c r="C5" s="80">
        <f>1-SUM(C2:C4)</f>
        <v>0.13800000000000001</v>
      </c>
      <c r="D5" s="80">
        <f>1-SUM(D2:D4)</f>
        <v>0.13700000000000001</v>
      </c>
      <c r="E5" s="80">
        <f>1-SUM(E2:E4)</f>
        <v>0.27900000000000003</v>
      </c>
      <c r="F5" s="80">
        <f>1-SUM(F2:F4)</f>
        <v>0.28749999999999998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0.47643000000000002</v>
      </c>
      <c r="D2" s="143">
        <v>0.46976999999999997</v>
      </c>
      <c r="E2" s="143">
        <v>0.46232999999999996</v>
      </c>
      <c r="F2" s="143">
        <v>0.45490000000000003</v>
      </c>
      <c r="G2" s="143">
        <v>0.44752000000000003</v>
      </c>
      <c r="H2" s="143">
        <v>0.44026000000000004</v>
      </c>
      <c r="I2" s="143">
        <v>0.43310000000000004</v>
      </c>
      <c r="J2" s="143">
        <v>0.42603999999999997</v>
      </c>
      <c r="K2" s="143">
        <v>0.41911000000000004</v>
      </c>
      <c r="L2" s="143">
        <v>0.41232000000000002</v>
      </c>
      <c r="M2" s="143">
        <v>0.40567999999999999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0.14422000000000001</v>
      </c>
      <c r="D4" s="143">
        <v>0.14071999999999998</v>
      </c>
      <c r="E4" s="143">
        <v>0.13750000000000001</v>
      </c>
      <c r="F4" s="143">
        <v>0.13438</v>
      </c>
      <c r="G4" s="143">
        <v>0.13137000000000001</v>
      </c>
      <c r="H4" s="143">
        <v>0.12842000000000001</v>
      </c>
      <c r="I4" s="143">
        <v>0.12554999999999999</v>
      </c>
      <c r="J4" s="143">
        <v>0.12275999999999999</v>
      </c>
      <c r="K4" s="143">
        <v>0.12003999999999999</v>
      </c>
      <c r="L4" s="143">
        <v>0.11739000000000001</v>
      </c>
      <c r="M4" s="143">
        <v>0.1148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0.82560761370299995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0.64500000000000002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0.412843350793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0.502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0.71250000000000002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7">
        <v>31.992000000000001</v>
      </c>
      <c r="D13" s="142">
        <v>30.78</v>
      </c>
      <c r="E13" s="142">
        <v>29.68</v>
      </c>
      <c r="F13" s="142">
        <v>28.536000000000001</v>
      </c>
      <c r="G13" s="142">
        <v>27.498000000000001</v>
      </c>
      <c r="H13" s="142">
        <v>26.495000000000001</v>
      </c>
      <c r="I13" s="142">
        <v>25.454999999999998</v>
      </c>
      <c r="J13" s="142">
        <v>25.664999999999999</v>
      </c>
      <c r="K13" s="142">
        <v>23.53</v>
      </c>
      <c r="L13" s="142">
        <v>23.029</v>
      </c>
      <c r="M13" s="142">
        <v>22.542999999999999</v>
      </c>
      <c r="N13" s="142"/>
      <c r="O13" s="142"/>
      <c r="P13" s="142"/>
    </row>
    <row r="14" spans="1:16" x14ac:dyDescent="0.25">
      <c r="B14" s="16" t="s">
        <v>170</v>
      </c>
      <c r="C14" s="147">
        <f>maternal_mortality</f>
        <v>3.68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84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84" t="s">
        <v>194</v>
      </c>
    </row>
  </sheetData>
  <sheetProtection algorithmName="SHA-512" hashValue="jmJC6X8r8jUCZQ6b3J/SJ1Rlr4uhPPY8XfsXhQ1YPCOejGctCcmrCuzOAcMafuWFjFmu83ttV2kzgNGxV8VJVg==" saltValue="modY9Om+StaVZQIWP17vm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9" workbookViewId="0">
      <selection activeCell="D2" sqref="D2:D39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8">
        <v>40.561070613111141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8">
        <v>42.580683844805243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8">
        <v>140.5387212287504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8">
        <v>0.54921846093538751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8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8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8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8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8">
        <v>1.1578852868158065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8">
        <v>1.1578852868158065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8">
        <v>1.1578852868158065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8">
        <v>1.1578852868158065</v>
      </c>
      <c r="E13" s="86" t="s">
        <v>202</v>
      </c>
    </row>
    <row r="14" spans="1:5" ht="15.75" customHeight="1" x14ac:dyDescent="0.25">
      <c r="A14" s="11" t="s">
        <v>187</v>
      </c>
      <c r="B14" s="85">
        <v>0.129</v>
      </c>
      <c r="C14" s="85">
        <v>0.95</v>
      </c>
      <c r="D14" s="148">
        <v>13.598395744825833</v>
      </c>
      <c r="E14" s="86" t="s">
        <v>202</v>
      </c>
    </row>
    <row r="15" spans="1:5" ht="15.75" customHeight="1" x14ac:dyDescent="0.25">
      <c r="A15" s="11" t="s">
        <v>209</v>
      </c>
      <c r="B15" s="85">
        <v>0.129</v>
      </c>
      <c r="C15" s="85">
        <v>0.95</v>
      </c>
      <c r="D15" s="148">
        <v>13.598395744825833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148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8">
        <v>0.33763848267590918</v>
      </c>
      <c r="E17" s="86" t="s">
        <v>202</v>
      </c>
    </row>
    <row r="18" spans="1:5" ht="16.05" customHeight="1" x14ac:dyDescent="0.25">
      <c r="A18" s="52" t="s">
        <v>173</v>
      </c>
      <c r="B18" s="85">
        <v>0.33600000000000002</v>
      </c>
      <c r="C18" s="85">
        <v>0.95</v>
      </c>
      <c r="D18" s="148">
        <v>3.3223485837494824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8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8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8">
        <v>5.0226201787989284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8">
        <v>23.23689431241996</v>
      </c>
      <c r="E22" s="86" t="s">
        <v>202</v>
      </c>
    </row>
    <row r="23" spans="1:5" ht="15.75" customHeight="1" x14ac:dyDescent="0.25">
      <c r="A23" s="52" t="s">
        <v>34</v>
      </c>
      <c r="B23" s="85">
        <v>0.64</v>
      </c>
      <c r="C23" s="85">
        <v>0.95</v>
      </c>
      <c r="D23" s="148">
        <v>4.4977193243106921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8">
        <v>19.667951390170742</v>
      </c>
      <c r="E24" s="86" t="s">
        <v>202</v>
      </c>
    </row>
    <row r="25" spans="1:5" ht="15.75" customHeight="1" x14ac:dyDescent="0.25">
      <c r="A25" s="52" t="s">
        <v>87</v>
      </c>
      <c r="B25" s="85">
        <v>0.158</v>
      </c>
      <c r="C25" s="85">
        <v>0.95</v>
      </c>
      <c r="D25" s="148">
        <v>19.621484157947364</v>
      </c>
      <c r="E25" s="86" t="s">
        <v>202</v>
      </c>
    </row>
    <row r="26" spans="1:5" ht="15.75" customHeight="1" x14ac:dyDescent="0.25">
      <c r="A26" s="52" t="s">
        <v>137</v>
      </c>
      <c r="B26" s="85">
        <v>0.129</v>
      </c>
      <c r="C26" s="85">
        <v>0.95</v>
      </c>
      <c r="D26" s="148">
        <v>4.6444830784709081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8">
        <v>4.6539290353555263</v>
      </c>
      <c r="E27" s="86" t="s">
        <v>202</v>
      </c>
    </row>
    <row r="28" spans="1:5" ht="15.75" customHeight="1" x14ac:dyDescent="0.25">
      <c r="A28" s="52" t="s">
        <v>84</v>
      </c>
      <c r="B28" s="85">
        <v>0.69900000000000007</v>
      </c>
      <c r="C28" s="85">
        <v>0.95</v>
      </c>
      <c r="D28" s="148">
        <v>0.67240960101188185</v>
      </c>
      <c r="E28" s="86" t="s">
        <v>202</v>
      </c>
    </row>
    <row r="29" spans="1:5" ht="15.75" customHeight="1" x14ac:dyDescent="0.25">
      <c r="A29" s="52" t="s">
        <v>58</v>
      </c>
      <c r="B29" s="85">
        <v>0.33600000000000002</v>
      </c>
      <c r="C29" s="85">
        <v>0.95</v>
      </c>
      <c r="D29" s="148">
        <v>73.779165565353139</v>
      </c>
      <c r="E29" s="86" t="s">
        <v>202</v>
      </c>
    </row>
    <row r="30" spans="1:5" ht="15.75" customHeight="1" x14ac:dyDescent="0.25">
      <c r="A30" s="52" t="s">
        <v>67</v>
      </c>
      <c r="B30" s="85">
        <v>5.5999999999999994E-2</v>
      </c>
      <c r="C30" s="85">
        <v>0.95</v>
      </c>
      <c r="D30" s="148">
        <v>280.91885702104412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8">
        <v>280.91885702104412</v>
      </c>
      <c r="E31" s="86" t="s">
        <v>202</v>
      </c>
    </row>
    <row r="32" spans="1:5" ht="15.45" customHeight="1" x14ac:dyDescent="0.25">
      <c r="A32" s="52" t="s">
        <v>28</v>
      </c>
      <c r="B32" s="85">
        <v>0.46350000000000008</v>
      </c>
      <c r="C32" s="85">
        <v>0.95</v>
      </c>
      <c r="D32" s="148">
        <v>0.6799284291458918</v>
      </c>
      <c r="E32" s="86" t="s">
        <v>202</v>
      </c>
    </row>
    <row r="33" spans="1:6" ht="15.75" customHeight="1" x14ac:dyDescent="0.25">
      <c r="A33" s="52" t="s">
        <v>83</v>
      </c>
      <c r="B33" s="85">
        <v>0.17</v>
      </c>
      <c r="C33" s="85">
        <v>0.95</v>
      </c>
      <c r="D33" s="148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0.255</v>
      </c>
      <c r="C34" s="85">
        <v>0.95</v>
      </c>
      <c r="D34" s="148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0.40600000000000003</v>
      </c>
      <c r="C35" s="85">
        <v>0.95</v>
      </c>
      <c r="D35" s="148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0.71900000000000008</v>
      </c>
      <c r="C36" s="85">
        <v>0.95</v>
      </c>
      <c r="D36" s="148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0.249</v>
      </c>
      <c r="C37" s="85">
        <v>0.95</v>
      </c>
      <c r="D37" s="148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0.502</v>
      </c>
      <c r="C38" s="85">
        <v>0.95</v>
      </c>
      <c r="D38" s="148">
        <v>1.8845676193202718</v>
      </c>
      <c r="E38" s="86" t="s">
        <v>202</v>
      </c>
    </row>
    <row r="39" spans="1:6" ht="15.75" customHeight="1" x14ac:dyDescent="0.25">
      <c r="A39" s="52" t="s">
        <v>60</v>
      </c>
      <c r="B39" s="85">
        <v>0.502</v>
      </c>
      <c r="C39" s="85">
        <v>0.95</v>
      </c>
      <c r="D39" s="148">
        <v>0.70270961833219969</v>
      </c>
      <c r="E39" s="86" t="s">
        <v>202</v>
      </c>
    </row>
    <row r="40" spans="1:6" ht="15.75" customHeight="1" x14ac:dyDescent="0.25">
      <c r="F40" s="36"/>
    </row>
  </sheetData>
  <sheetProtection algorithmName="SHA-512" hashValue="9x/lo/7rSzPQykfT/YUe3GS8ybaRAX8JBqd2QyUfMWkaSasQbcem6EJLmXILR9fdAXG44QHIxNC9suDh+R5rAw==" saltValue="fU6C7F3H7ixXgzOgdzt0Sg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2.6463538219675002</v>
      </c>
      <c r="C2" s="26">
        <f>'Baseline year population inputs'!C52</f>
        <v>2.5573027489900002</v>
      </c>
      <c r="D2" s="26">
        <f>'Baseline year population inputs'!C53</f>
        <v>2.5573027489900002</v>
      </c>
      <c r="E2" s="26">
        <f>'Baseline year population inputs'!C54</f>
        <v>1.8550822462399998</v>
      </c>
      <c r="F2" s="26">
        <f>'Baseline year population inputs'!C55</f>
        <v>1.8550822462399998</v>
      </c>
    </row>
    <row r="3" spans="1:6" ht="15.75" customHeight="1" x14ac:dyDescent="0.25">
      <c r="A3" s="3" t="s">
        <v>65</v>
      </c>
      <c r="B3" s="26">
        <f>frac_mam_1month * 2.6</f>
        <v>0.19287516560000001</v>
      </c>
      <c r="C3" s="26">
        <f>frac_mam_1_5months * 2.6</f>
        <v>0.19287516560000001</v>
      </c>
      <c r="D3" s="26">
        <f>frac_mam_6_11months * 2.6</f>
        <v>0.2700693736</v>
      </c>
      <c r="E3" s="26">
        <f>frac_mam_12_23months * 2.6</f>
        <v>0.322595884</v>
      </c>
      <c r="F3" s="26">
        <f>frac_mam_24_59months * 2.6</f>
        <v>0.14922023393333331</v>
      </c>
    </row>
    <row r="4" spans="1:6" ht="15.75" customHeight="1" x14ac:dyDescent="0.25">
      <c r="A4" s="3" t="s">
        <v>66</v>
      </c>
      <c r="B4" s="26">
        <f>frac_sam_1month * 2.6</f>
        <v>3.3998003000000006E-2</v>
      </c>
      <c r="C4" s="26">
        <f>frac_sam_1_5months * 2.6</f>
        <v>3.3998003000000006E-2</v>
      </c>
      <c r="D4" s="26">
        <f>frac_sam_6_11months * 2.6</f>
        <v>0.1343429984</v>
      </c>
      <c r="E4" s="26">
        <f>frac_sam_12_23months * 2.6</f>
        <v>7.8538303999999989E-2</v>
      </c>
      <c r="F4" s="26">
        <f>frac_sam_24_59months * 2.6</f>
        <v>3.3268349400000001E-2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topLeftCell="A19" zoomScale="85" zoomScaleNormal="118" workbookViewId="0">
      <selection activeCell="H18" sqref="H1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0.307</v>
      </c>
      <c r="E2" s="91">
        <f>food_insecure</f>
        <v>0.307</v>
      </c>
      <c r="F2" s="91">
        <f>food_insecure</f>
        <v>0.307</v>
      </c>
      <c r="G2" s="91">
        <f>food_insecure</f>
        <v>0.307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0.307</v>
      </c>
      <c r="F5" s="91">
        <f>food_insecure</f>
        <v>0.307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2.6463538219675002</v>
      </c>
      <c r="D7" s="91">
        <f>diarrhoea_1_5mo</f>
        <v>2.5573027489900002</v>
      </c>
      <c r="E7" s="91">
        <f>diarrhoea_6_11mo</f>
        <v>2.5573027489900002</v>
      </c>
      <c r="F7" s="91">
        <f>diarrhoea_12_23mo</f>
        <v>1.8550822462399998</v>
      </c>
      <c r="G7" s="91">
        <f>diarrhoea_24_59mo</f>
        <v>1.8550822462399998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0.307</v>
      </c>
      <c r="F8" s="91">
        <f>food_insecure</f>
        <v>0.307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f>IF(ISBLANK(comm_deliv_sam), frac_children_health_facility,1)</f>
        <v>1</v>
      </c>
      <c r="E9" s="91">
        <f>IF(ISBLANK(comm_deliv_sam), frac_children_health_facility,1)</f>
        <v>1</v>
      </c>
      <c r="F9" s="91">
        <f>IF(ISBLANK(comm_deliv_sam), frac_children_health_facility,1)</f>
        <v>1</v>
      </c>
      <c r="G9" s="91">
        <f>IF(ISBLANK(comm_deliv_sam), frac_children_health_facility,1)</f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f>IF(ISBLANK(comm_deliv_mam), frac_children_health_facility,1)</f>
        <v>1</v>
      </c>
      <c r="E10" s="91">
        <f>IF(ISBLANK(comm_deliv_mam), frac_children_health_facility,1)</f>
        <v>1</v>
      </c>
      <c r="F10" s="91">
        <f>IF(ISBLANK(comm_deliv_mam), frac_children_health_facility,1)</f>
        <v>1</v>
      </c>
      <c r="G10" s="91">
        <f>IF(ISBLANK(comm_deliv_mam), frac_children_health_facility,1)</f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2.6463538219675002</v>
      </c>
      <c r="D12" s="91">
        <f>diarrhoea_1_5mo</f>
        <v>2.5573027489900002</v>
      </c>
      <c r="E12" s="91">
        <f>diarrhoea_6_11mo</f>
        <v>2.5573027489900002</v>
      </c>
      <c r="F12" s="91">
        <f>diarrhoea_12_23mo</f>
        <v>1.8550822462399998</v>
      </c>
      <c r="G12" s="91">
        <f>diarrhoea_24_59mo</f>
        <v>1.8550822462399998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0.307</v>
      </c>
      <c r="I15" s="91">
        <f>food_insecure</f>
        <v>0.307</v>
      </c>
      <c r="J15" s="91">
        <f>food_insecure</f>
        <v>0.307</v>
      </c>
      <c r="K15" s="91">
        <f>food_insecure</f>
        <v>0.307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0.76700000000000002</v>
      </c>
      <c r="I18" s="91">
        <f>frac_PW_health_facility</f>
        <v>0.76700000000000002</v>
      </c>
      <c r="J18" s="91">
        <f>frac_PW_health_facility</f>
        <v>0.76700000000000002</v>
      </c>
      <c r="K18" s="91">
        <f>frac_PW_health_facility</f>
        <v>0.76700000000000002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5.0000000000000001E-3</v>
      </c>
      <c r="I19" s="91">
        <f>frac_malaria_risk</f>
        <v>5.0000000000000001E-3</v>
      </c>
      <c r="J19" s="91">
        <f>frac_malaria_risk</f>
        <v>5.0000000000000001E-3</v>
      </c>
      <c r="K19" s="91">
        <f>frac_malaria_risk</f>
        <v>5.0000000000000001E-3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0.53900000000000003</v>
      </c>
      <c r="M24" s="91">
        <f>famplan_unmet_need</f>
        <v>0.53900000000000003</v>
      </c>
      <c r="N24" s="91">
        <f>famplan_unmet_need</f>
        <v>0.53900000000000003</v>
      </c>
      <c r="O24" s="91">
        <f>famplan_unmet_need</f>
        <v>0.53900000000000003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0.20111974494934101</v>
      </c>
      <c r="M25" s="91">
        <f>(1-food_insecure)*(0.49)+food_insecure*(0.7)</f>
        <v>0.55447000000000002</v>
      </c>
      <c r="N25" s="91">
        <f>(1-food_insecure)*(0.49)+food_insecure*(0.7)</f>
        <v>0.55447000000000002</v>
      </c>
      <c r="O25" s="91">
        <f>(1-food_insecure)*(0.49)+food_insecure*(0.7)</f>
        <v>0.55447000000000002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8.6194176406860445E-2</v>
      </c>
      <c r="M26" s="91">
        <f>(1-food_insecure)*(0.21)+food_insecure*(0.3)</f>
        <v>0.23763000000000001</v>
      </c>
      <c r="N26" s="91">
        <f>(1-food_insecure)*(0.21)+food_insecure*(0.3)</f>
        <v>0.23763000000000001</v>
      </c>
      <c r="O26" s="91">
        <f>(1-food_insecure)*(0.21)+food_insecure*(0.3)</f>
        <v>0.23763000000000001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7.5410382843017654E-2</v>
      </c>
      <c r="M27" s="91">
        <f>(1-food_insecure)*(0.3)</f>
        <v>0.2079</v>
      </c>
      <c r="N27" s="91">
        <f>(1-food_insecure)*(0.3)</f>
        <v>0.2079</v>
      </c>
      <c r="O27" s="91">
        <f>(1-food_insecure)*(0.3)</f>
        <v>0.2079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0.63727569580078092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5.0000000000000001E-3</v>
      </c>
      <c r="D34" s="91">
        <f t="shared" si="3"/>
        <v>5.0000000000000001E-3</v>
      </c>
      <c r="E34" s="91">
        <f t="shared" si="3"/>
        <v>5.0000000000000001E-3</v>
      </c>
      <c r="F34" s="91">
        <f t="shared" si="3"/>
        <v>5.0000000000000001E-3</v>
      </c>
      <c r="G34" s="91">
        <f t="shared" si="3"/>
        <v>5.0000000000000001E-3</v>
      </c>
      <c r="H34" s="91">
        <f t="shared" si="3"/>
        <v>5.0000000000000001E-3</v>
      </c>
      <c r="I34" s="91">
        <f t="shared" si="3"/>
        <v>5.0000000000000001E-3</v>
      </c>
      <c r="J34" s="91">
        <f t="shared" si="3"/>
        <v>5.0000000000000001E-3</v>
      </c>
      <c r="K34" s="91">
        <f t="shared" si="3"/>
        <v>5.0000000000000001E-3</v>
      </c>
      <c r="L34" s="91">
        <f t="shared" si="3"/>
        <v>5.0000000000000001E-3</v>
      </c>
      <c r="M34" s="91">
        <f t="shared" si="3"/>
        <v>5.0000000000000001E-3</v>
      </c>
      <c r="N34" s="91">
        <f t="shared" si="3"/>
        <v>5.0000000000000001E-3</v>
      </c>
      <c r="O34" s="91">
        <f t="shared" si="3"/>
        <v>5.0000000000000001E-3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Qum+VW6p29jSsipI1jjRypXFLFwtEgMvGqy+HiWFw2ePvf9M9tqj6rnVp+oDZDv4iQ0Ekt8a+7KZqgQ4IeDzAg==" saltValue="AQkm7+T8vA32cHZ0OPlpF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C14" sqref="C14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BHCRi9s0Uv4zVK3BCgkcKPs0oN9MXHJo4mcZj9Iq3hUKiuLbhlt2U5dV5cXtjSs+iN5j92fhMtf7spPymnX3Sg==" saltValue="+QCpZXDJvnoP9IvmDkMSk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F45" sqref="F45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0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0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0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0" t="s">
        <v>1</v>
      </c>
      <c r="C5" s="35" t="s">
        <v>176</v>
      </c>
      <c r="D5" s="138">
        <f>1.1*5.16</f>
        <v>5.676000000000001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0"/>
      <c r="C6" s="35" t="s">
        <v>175</v>
      </c>
      <c r="D6" s="138">
        <f>1.1*5.16</f>
        <v>5.676000000000001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0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0" t="s">
        <v>2</v>
      </c>
      <c r="C8" s="35" t="s">
        <v>176</v>
      </c>
      <c r="D8" s="138">
        <v>1</v>
      </c>
      <c r="E8" s="138">
        <f>1.1*5.16</f>
        <v>5.676000000000001</v>
      </c>
      <c r="F8" s="138">
        <v>1</v>
      </c>
      <c r="G8" s="138">
        <v>1</v>
      </c>
      <c r="H8" s="138">
        <v>1</v>
      </c>
    </row>
    <row r="9" spans="1:10" x14ac:dyDescent="0.25">
      <c r="B9" s="150"/>
      <c r="C9" s="35" t="s">
        <v>175</v>
      </c>
      <c r="D9" s="138">
        <v>1</v>
      </c>
      <c r="E9" s="138">
        <f>1.1*5.16</f>
        <v>5.676000000000001</v>
      </c>
      <c r="F9" s="138">
        <v>1</v>
      </c>
      <c r="G9" s="138">
        <v>1</v>
      </c>
      <c r="H9" s="138">
        <v>1</v>
      </c>
    </row>
    <row r="10" spans="1:10" x14ac:dyDescent="0.25">
      <c r="B10" s="150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0" t="s">
        <v>3</v>
      </c>
      <c r="C11" s="35" t="s">
        <v>176</v>
      </c>
      <c r="D11" s="138">
        <v>1</v>
      </c>
      <c r="E11" s="138">
        <v>1</v>
      </c>
      <c r="F11" s="138">
        <f>1.1*1.82</f>
        <v>2.0020000000000002</v>
      </c>
      <c r="G11" s="138">
        <v>1</v>
      </c>
      <c r="H11" s="138">
        <v>1</v>
      </c>
    </row>
    <row r="12" spans="1:10" x14ac:dyDescent="0.25">
      <c r="B12" s="150"/>
      <c r="C12" s="35" t="s">
        <v>175</v>
      </c>
      <c r="D12" s="138">
        <v>1</v>
      </c>
      <c r="E12" s="138">
        <v>1</v>
      </c>
      <c r="F12" s="138">
        <f>1.1*1.82</f>
        <v>2.0020000000000002</v>
      </c>
      <c r="G12" s="138">
        <v>1</v>
      </c>
      <c r="H12" s="138">
        <v>1</v>
      </c>
    </row>
    <row r="13" spans="1:10" x14ac:dyDescent="0.25">
      <c r="B13" s="150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0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1.1*1.82</f>
        <v>2.0020000000000002</v>
      </c>
      <c r="H14" s="138">
        <v>1</v>
      </c>
    </row>
    <row r="15" spans="1:10" x14ac:dyDescent="0.25">
      <c r="B15" s="150"/>
      <c r="C15" s="35" t="s">
        <v>175</v>
      </c>
      <c r="D15" s="138">
        <v>1</v>
      </c>
      <c r="E15" s="138">
        <v>1</v>
      </c>
      <c r="F15" s="138">
        <v>1</v>
      </c>
      <c r="G15" s="138">
        <f>1.1*1.82</f>
        <v>2.0020000000000002</v>
      </c>
      <c r="H15" s="138">
        <v>1</v>
      </c>
    </row>
    <row r="16" spans="1:10" x14ac:dyDescent="0.25">
      <c r="B16" s="150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1.1*1.05</f>
        <v>1.1550000000000002</v>
      </c>
      <c r="E17" s="138">
        <f t="shared" ref="E17:G17" si="0">1.1*1.05</f>
        <v>1.1550000000000002</v>
      </c>
      <c r="F17" s="138">
        <f t="shared" si="0"/>
        <v>1.1550000000000002</v>
      </c>
      <c r="G17" s="138">
        <f t="shared" si="0"/>
        <v>1.1550000000000002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0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0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0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0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0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0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0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0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0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0" t="s">
        <v>3</v>
      </c>
      <c r="C28" s="35" t="s">
        <v>176</v>
      </c>
      <c r="D28" s="138">
        <v>1</v>
      </c>
      <c r="E28" s="138">
        <v>1</v>
      </c>
      <c r="F28" s="138">
        <f>0.9*0.78</f>
        <v>0.70200000000000007</v>
      </c>
      <c r="G28" s="138">
        <v>1</v>
      </c>
      <c r="H28" s="138">
        <v>1</v>
      </c>
    </row>
    <row r="29" spans="1:8" x14ac:dyDescent="0.25">
      <c r="B29" s="150"/>
      <c r="C29" s="35" t="s">
        <v>175</v>
      </c>
      <c r="D29" s="138">
        <v>1</v>
      </c>
      <c r="E29" s="138">
        <v>1</v>
      </c>
      <c r="F29" s="138">
        <f>0.9*0.78</f>
        <v>0.70200000000000007</v>
      </c>
      <c r="G29" s="138">
        <v>1</v>
      </c>
      <c r="H29" s="138">
        <v>1</v>
      </c>
    </row>
    <row r="30" spans="1:8" x14ac:dyDescent="0.25">
      <c r="B30" s="150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0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0.9*0.78</f>
        <v>0.70200000000000007</v>
      </c>
      <c r="H31" s="138">
        <v>1</v>
      </c>
    </row>
    <row r="32" spans="1:8" x14ac:dyDescent="0.25">
      <c r="B32" s="150"/>
      <c r="C32" s="35" t="s">
        <v>175</v>
      </c>
      <c r="D32" s="138">
        <v>1</v>
      </c>
      <c r="E32" s="138">
        <v>1</v>
      </c>
      <c r="F32" s="138">
        <v>1</v>
      </c>
      <c r="G32" s="138">
        <f>0.9*0.78</f>
        <v>0.70200000000000007</v>
      </c>
      <c r="H32" s="138">
        <v>1</v>
      </c>
    </row>
    <row r="33" spans="1:8" x14ac:dyDescent="0.25">
      <c r="B33" s="150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f>0.9*0.95</f>
        <v>0.85499999999999998</v>
      </c>
      <c r="G34" s="138">
        <f>0.9*0.95</f>
        <v>0.85499999999999998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0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0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0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0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0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0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0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0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0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0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0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0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0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0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0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E6" sqref="E6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0.89*0.9</f>
        <v>0.80100000000000005</v>
      </c>
      <c r="F6" s="140">
        <f>0.89*0.9</f>
        <v>0.80100000000000005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0.89*0.9</f>
        <v>0.80100000000000005</v>
      </c>
      <c r="F7" s="140">
        <f>0.89*0.9</f>
        <v>0.80100000000000005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0.9*1.5</f>
        <v>1.35</v>
      </c>
      <c r="D11" s="140">
        <f>0.9*1.39</f>
        <v>1.2509999999999999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0.31</v>
      </c>
      <c r="D2" s="140">
        <v>0.31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0.45</v>
      </c>
      <c r="D8" s="140">
        <v>0.45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0.45</v>
      </c>
      <c r="D10" s="140">
        <v>0.45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0.12</v>
      </c>
      <c r="D12" s="140">
        <v>0.12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0.4</v>
      </c>
      <c r="D3" s="140">
        <v>0.4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0.56000000000000005</v>
      </c>
      <c r="I4" s="140">
        <v>0.56000000000000005</v>
      </c>
      <c r="J4" s="140">
        <v>0.56000000000000005</v>
      </c>
      <c r="K4" s="140">
        <v>0.56000000000000005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0.56000000000000005</v>
      </c>
      <c r="I5" s="140">
        <v>0.56000000000000005</v>
      </c>
      <c r="J5" s="140">
        <v>0.56000000000000005</v>
      </c>
      <c r="K5" s="140">
        <v>0.56000000000000005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0.56000000000000005</v>
      </c>
      <c r="I6" s="140">
        <v>0.56000000000000005</v>
      </c>
      <c r="J6" s="140">
        <v>0.56000000000000005</v>
      </c>
      <c r="K6" s="140">
        <v>0.56000000000000005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0.56000000000000005</v>
      </c>
      <c r="I7" s="140">
        <v>0.56000000000000005</v>
      </c>
      <c r="J7" s="140">
        <v>0.56000000000000005</v>
      </c>
      <c r="K7" s="140">
        <v>0.56000000000000005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0.16</v>
      </c>
      <c r="M8" s="140">
        <v>0.16</v>
      </c>
      <c r="N8" s="140">
        <v>0.16</v>
      </c>
      <c r="O8" s="140">
        <v>0.16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0.16</v>
      </c>
      <c r="M9" s="140">
        <v>0.16</v>
      </c>
      <c r="N9" s="140">
        <v>0.16</v>
      </c>
      <c r="O9" s="140">
        <v>0.16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0.74</v>
      </c>
      <c r="M10" s="140">
        <v>0.74</v>
      </c>
      <c r="N10" s="140">
        <v>0.74</v>
      </c>
      <c r="O10" s="140">
        <v>0.74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0.6</v>
      </c>
      <c r="F11" s="140">
        <v>0.6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0.9*0.83</f>
        <v>0.747</v>
      </c>
      <c r="D12" s="140">
        <f t="shared" ref="D12:O12" si="0">0.9*0.83</f>
        <v>0.747</v>
      </c>
      <c r="E12" s="140">
        <f t="shared" si="0"/>
        <v>0.747</v>
      </c>
      <c r="F12" s="140">
        <f t="shared" si="0"/>
        <v>0.747</v>
      </c>
      <c r="G12" s="140">
        <f t="shared" si="0"/>
        <v>0.747</v>
      </c>
      <c r="H12" s="140">
        <f t="shared" si="0"/>
        <v>0.747</v>
      </c>
      <c r="I12" s="140">
        <f t="shared" si="0"/>
        <v>0.747</v>
      </c>
      <c r="J12" s="140">
        <f t="shared" si="0"/>
        <v>0.747</v>
      </c>
      <c r="K12" s="140">
        <f t="shared" si="0"/>
        <v>0.747</v>
      </c>
      <c r="L12" s="140">
        <f t="shared" si="0"/>
        <v>0.747</v>
      </c>
      <c r="M12" s="140">
        <f t="shared" si="0"/>
        <v>0.747</v>
      </c>
      <c r="N12" s="140">
        <f t="shared" si="0"/>
        <v>0.747</v>
      </c>
      <c r="O12" s="140">
        <f t="shared" si="0"/>
        <v>0.747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0.6</v>
      </c>
      <c r="F13" s="140">
        <v>0.6</v>
      </c>
      <c r="G13" s="140">
        <v>0.6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0.16</v>
      </c>
      <c r="M14" s="140">
        <v>0.16</v>
      </c>
      <c r="N14" s="140">
        <v>0.16</v>
      </c>
      <c r="O14" s="140">
        <v>0.16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0.96</v>
      </c>
      <c r="F17" s="140">
        <v>0.96</v>
      </c>
      <c r="G17" s="140">
        <v>0.96</v>
      </c>
      <c r="H17" s="140">
        <v>0.96</v>
      </c>
      <c r="I17" s="140">
        <v>0.96</v>
      </c>
      <c r="J17" s="140">
        <v>0.96</v>
      </c>
      <c r="K17" s="140">
        <v>0.96</v>
      </c>
      <c r="L17" s="140">
        <v>0.96</v>
      </c>
      <c r="M17" s="140">
        <v>0.96</v>
      </c>
      <c r="N17" s="140">
        <v>0.96</v>
      </c>
      <c r="O17" s="140">
        <v>0.96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0.96</v>
      </c>
      <c r="F18" s="140">
        <v>0.96</v>
      </c>
      <c r="G18" s="140">
        <v>0.96</v>
      </c>
      <c r="H18" s="140">
        <v>0.96</v>
      </c>
      <c r="I18" s="140">
        <v>0.96</v>
      </c>
      <c r="J18" s="140">
        <v>0.96</v>
      </c>
      <c r="K18" s="140">
        <v>0.96</v>
      </c>
      <c r="L18" s="140">
        <v>0.96</v>
      </c>
      <c r="M18" s="140">
        <v>0.96</v>
      </c>
      <c r="N18" s="140">
        <v>0.96</v>
      </c>
      <c r="O18" s="140">
        <v>0.96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0.96</v>
      </c>
      <c r="F19" s="140">
        <v>0.96</v>
      </c>
      <c r="G19" s="140">
        <v>0.96</v>
      </c>
      <c r="H19" s="140">
        <v>0.96</v>
      </c>
      <c r="I19" s="140">
        <v>0.96</v>
      </c>
      <c r="J19" s="140">
        <v>0.96</v>
      </c>
      <c r="K19" s="140">
        <v>0.96</v>
      </c>
      <c r="L19" s="140">
        <v>0.96</v>
      </c>
      <c r="M19" s="140">
        <v>0.96</v>
      </c>
      <c r="N19" s="140">
        <v>0.96</v>
      </c>
      <c r="O19" s="140">
        <v>0.96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0.96</v>
      </c>
      <c r="F20" s="140">
        <v>0.96</v>
      </c>
      <c r="G20" s="140">
        <v>0.96</v>
      </c>
      <c r="H20" s="140">
        <v>0.96</v>
      </c>
      <c r="I20" s="140">
        <v>0.96</v>
      </c>
      <c r="J20" s="140">
        <v>0.96</v>
      </c>
      <c r="K20" s="140">
        <v>0.96</v>
      </c>
      <c r="L20" s="140">
        <v>0.96</v>
      </c>
      <c r="M20" s="140">
        <v>0.96</v>
      </c>
      <c r="N20" s="140">
        <v>0.96</v>
      </c>
      <c r="O20" s="140">
        <v>0.96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tabSelected="1" workbookViewId="0">
      <selection activeCell="D5" sqref="D5:G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0.9*0.22</f>
        <v>0.19800000000000001</v>
      </c>
      <c r="E3" s="140">
        <f t="shared" ref="E3:G3" si="0">0.9*0.22</f>
        <v>0.19800000000000001</v>
      </c>
      <c r="F3" s="140">
        <f t="shared" si="0"/>
        <v>0.19800000000000001</v>
      </c>
      <c r="G3" s="140">
        <f t="shared" si="0"/>
        <v>0.19800000000000001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0.9*0.16</f>
        <v>0.14400000000000002</v>
      </c>
      <c r="E5" s="140">
        <f t="shared" ref="E5:G5" si="1">0.9*0.16</f>
        <v>0.14400000000000002</v>
      </c>
      <c r="F5" s="140">
        <f t="shared" si="1"/>
        <v>0.14400000000000002</v>
      </c>
      <c r="G5" s="140">
        <f t="shared" si="1"/>
        <v>0.14400000000000002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opLeftCell="A8" zoomScale="111" workbookViewId="0">
      <selection activeCell="A17" sqref="A17:H20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1.1*0.36</f>
        <v>0.39600000000000002</v>
      </c>
      <c r="G3" s="140">
        <f t="shared" ref="G3:H3" si="0">1.1*0.36</f>
        <v>0.39600000000000002</v>
      </c>
      <c r="H3" s="140">
        <f t="shared" si="0"/>
        <v>0.39600000000000002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1.1*0.45</f>
        <v>0.49500000000000005</v>
      </c>
      <c r="G4" s="140">
        <f t="shared" ref="G4:H4" si="1">1.1*0.45</f>
        <v>0.49500000000000005</v>
      </c>
      <c r="H4" s="140">
        <f t="shared" si="1"/>
        <v>0.49500000000000005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1.1*0.259701492537313</f>
        <v>0.28567164179104432</v>
      </c>
      <c r="G6" s="140">
        <f>1.1*0.259701492537313</f>
        <v>0.28567164179104432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1.1*0.259701492537313</f>
        <v>0.28567164179104432</v>
      </c>
      <c r="G8" s="140">
        <f>1.1*0.259701492537313</f>
        <v>0.28567164179104432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1.1*0.259701492537313</f>
        <v>0.28567164179104432</v>
      </c>
      <c r="G10" s="140">
        <f>1.1*0.259701492537313</f>
        <v>0.28567164179104432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1.1*0.259701492537313</f>
        <v>0.28567164179104432</v>
      </c>
      <c r="G12" s="140">
        <f>1.1*0.259701492537313</f>
        <v>0.28567164179104432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1.1*0.85</f>
        <v>0.93500000000000005</v>
      </c>
      <c r="G14" s="140">
        <f t="shared" ref="G14:H14" si="2">1.1*0.85</f>
        <v>0.93500000000000005</v>
      </c>
      <c r="H14" s="140">
        <f t="shared" si="2"/>
        <v>0.93500000000000005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1.1*0.75</f>
        <v>0.82500000000000007</v>
      </c>
      <c r="G16" s="140">
        <f t="shared" ref="G16:H16" si="3">1.1*0.75</f>
        <v>0.82500000000000007</v>
      </c>
      <c r="H16" s="140">
        <f t="shared" si="3"/>
        <v>0.82500000000000007</v>
      </c>
      <c r="I16" s="36"/>
    </row>
    <row r="17" spans="1:9" x14ac:dyDescent="0.25">
      <c r="A17" s="149" t="s">
        <v>183</v>
      </c>
      <c r="B17" s="149" t="s">
        <v>66</v>
      </c>
      <c r="C17" s="149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49"/>
      <c r="B18" s="149"/>
      <c r="C18" s="149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49"/>
      <c r="B19" s="149" t="s">
        <v>65</v>
      </c>
      <c r="C19" s="149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49"/>
      <c r="B20" s="149"/>
      <c r="C20" s="149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1.1*0.19</f>
        <v>0.20900000000000002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1.1*0.19</f>
        <v>0.20900000000000002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1.1*0.19</f>
        <v>0.20900000000000002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1.1*0.5</f>
        <v>0.55000000000000004</v>
      </c>
      <c r="E43" s="140">
        <f t="shared" ref="E43:H43" si="4">1.1*0.5</f>
        <v>0.55000000000000004</v>
      </c>
      <c r="F43" s="140">
        <f t="shared" si="4"/>
        <v>0.55000000000000004</v>
      </c>
      <c r="G43" s="140">
        <f t="shared" si="4"/>
        <v>0.55000000000000004</v>
      </c>
      <c r="H43" s="140">
        <f t="shared" si="4"/>
        <v>0.55000000000000004</v>
      </c>
    </row>
    <row r="44" spans="1:8" x14ac:dyDescent="0.25">
      <c r="C44" s="52" t="s">
        <v>270</v>
      </c>
      <c r="D44" s="140">
        <f>1.1*0.65</f>
        <v>0.71500000000000008</v>
      </c>
      <c r="E44" s="140">
        <f t="shared" ref="E44:H44" si="5">1.1*0.65</f>
        <v>0.71500000000000008</v>
      </c>
      <c r="F44" s="140">
        <f t="shared" si="5"/>
        <v>0.71500000000000008</v>
      </c>
      <c r="G44" s="140">
        <f t="shared" si="5"/>
        <v>0.71500000000000008</v>
      </c>
      <c r="H44" s="140">
        <f t="shared" si="5"/>
        <v>0.71500000000000008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1.1*0.49</f>
        <v>0.53900000000000003</v>
      </c>
      <c r="E46" s="140">
        <f t="shared" ref="E46:H46" si="6">1.1*0.49</f>
        <v>0.53900000000000003</v>
      </c>
      <c r="F46" s="140">
        <f t="shared" si="6"/>
        <v>0.53900000000000003</v>
      </c>
      <c r="G46" s="140">
        <f t="shared" si="6"/>
        <v>0.53900000000000003</v>
      </c>
      <c r="H46" s="140">
        <f t="shared" si="6"/>
        <v>0.53900000000000003</v>
      </c>
    </row>
    <row r="47" spans="1:8" x14ac:dyDescent="0.25">
      <c r="C47" s="52" t="s">
        <v>270</v>
      </c>
      <c r="D47" s="140">
        <f>1.1*0.63</f>
        <v>0.69300000000000006</v>
      </c>
      <c r="E47" s="140">
        <f t="shared" ref="E47:H47" si="7">1.1*0.63</f>
        <v>0.69300000000000006</v>
      </c>
      <c r="F47" s="140">
        <f t="shared" si="7"/>
        <v>0.69300000000000006</v>
      </c>
      <c r="G47" s="140">
        <f t="shared" si="7"/>
        <v>0.69300000000000006</v>
      </c>
      <c r="H47" s="140">
        <f t="shared" si="7"/>
        <v>0.69300000000000006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1.1*0.8</f>
        <v>0.88000000000000012</v>
      </c>
      <c r="E49" s="140">
        <f t="shared" ref="E49:H49" si="8">1.1*0.8</f>
        <v>0.88000000000000012</v>
      </c>
      <c r="F49" s="140">
        <f t="shared" si="8"/>
        <v>0.88000000000000012</v>
      </c>
      <c r="G49" s="140">
        <f t="shared" si="8"/>
        <v>0.88000000000000012</v>
      </c>
      <c r="H49" s="140">
        <f t="shared" si="8"/>
        <v>0.88000000000000012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1.1*0.76</f>
        <v>0.83600000000000008</v>
      </c>
      <c r="E51" s="140">
        <f t="shared" ref="E51:H51" si="9">1.1*0.76</f>
        <v>0.83600000000000008</v>
      </c>
      <c r="F51" s="140">
        <f t="shared" si="9"/>
        <v>0.83600000000000008</v>
      </c>
      <c r="G51" s="140">
        <f t="shared" si="9"/>
        <v>0.83600000000000008</v>
      </c>
      <c r="H51" s="140">
        <f t="shared" si="9"/>
        <v>0.83600000000000008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1.1*0.88</f>
        <v>0.96800000000000008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E4" sqref="E4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0.35</v>
      </c>
      <c r="E3" s="140">
        <v>0.35</v>
      </c>
      <c r="F3" s="140">
        <v>0.35</v>
      </c>
      <c r="G3" s="140">
        <v>0.35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0.71</v>
      </c>
      <c r="E5" s="140">
        <v>0.71</v>
      </c>
      <c r="F5" s="140">
        <v>0.71</v>
      </c>
      <c r="G5" s="140">
        <v>0.71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0.71</v>
      </c>
      <c r="E7" s="140">
        <v>0.71</v>
      </c>
      <c r="F7" s="140">
        <v>0.71</v>
      </c>
      <c r="G7" s="140">
        <v>0.71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2020-07-16T02:41:45Z</dcterms:modified>
</cp:coreProperties>
</file>