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AC4E10FA-843D-494D-A0A6-0F8E60AB1B10}" xr6:coauthVersionLast="45" xr6:coauthVersionMax="45" xr10:uidLastSave="{00000000-0000-0000-0000-000000000000}"/>
  <bookViews>
    <workbookView xWindow="10470" yWindow="-16320" windowWidth="29040" windowHeight="158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target population" sheetId="21" r:id="rId13"/>
    <sheet name="Programs impacted population" sheetId="62" r:id="rId14"/>
    <sheet name="Program risk areas" sheetId="63" state="hidden" r:id="rId15"/>
    <sheet name="Population risk areas" sheetId="64" state="hidden" r:id="rId16"/>
    <sheet name="IYCF odds ratios" sheetId="65" state="hidden" r:id="rId17"/>
    <sheet name="Birth outcome risks" sheetId="66" state="hidden" r:id="rId18"/>
    <sheet name="Relative risks" sheetId="67" state="hidden" r:id="rId19"/>
    <sheet name="Odds ratios" sheetId="68" state="hidden" r:id="rId20"/>
    <sheet name="Programs birth outcomes" sheetId="69" state="hidden" r:id="rId21"/>
    <sheet name="Programs anemia" sheetId="70" state="hidden" r:id="rId22"/>
    <sheet name="Programs wasting" sheetId="71" state="hidden" r:id="rId23"/>
    <sheet name="Programs for children" sheetId="72" state="hidden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G7" i="21" l="1"/>
  <c r="F7" i="21"/>
  <c r="E7" i="21"/>
  <c r="D7" i="21"/>
  <c r="C7" i="21"/>
  <c r="C12" i="21"/>
  <c r="G12" i="21"/>
  <c r="F12" i="21"/>
  <c r="E12" i="21"/>
  <c r="D12" i="2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<sst xmlns="http://schemas.openxmlformats.org/spreadsheetml/2006/main" count="1107" uniqueCount="272">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</sst>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1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277206</v>
      </c>
    </row>
    <row r="8" spans="1:3" ht="15" customHeight="1" x14ac:dyDescent="0.25">
      <c r="B8" s="7" t="s">
        <v>106</v>
      </c>
      <c r="C8" s="66">
        <v>3.4000000000000002E-2</v>
      </c>
    </row>
    <row r="9" spans="1:3" ht="15" customHeight="1" x14ac:dyDescent="0.25">
      <c r="B9" s="9" t="s">
        <v>107</v>
      </c>
      <c r="C9" s="67">
        <v>0.96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0.77599999999999991</v>
      </c>
    </row>
    <row r="12" spans="1:3" ht="15" customHeight="1" x14ac:dyDescent="0.25">
      <c r="B12" s="7" t="s">
        <v>109</v>
      </c>
      <c r="C12" s="66">
        <v>0.67700000000000005</v>
      </c>
    </row>
    <row r="13" spans="1:3" ht="15" customHeight="1" x14ac:dyDescent="0.25">
      <c r="B13" s="7" t="s">
        <v>110</v>
      </c>
      <c r="C13" s="66">
        <v>0.66299999999999992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0.13100000000000001</v>
      </c>
    </row>
    <row r="24" spans="1:3" ht="15" customHeight="1" x14ac:dyDescent="0.25">
      <c r="B24" s="20" t="s">
        <v>102</v>
      </c>
      <c r="C24" s="67">
        <v>0.434</v>
      </c>
    </row>
    <row r="25" spans="1:3" ht="15" customHeight="1" x14ac:dyDescent="0.25">
      <c r="B25" s="20" t="s">
        <v>103</v>
      </c>
      <c r="C25" s="67">
        <v>0.35249999999999998</v>
      </c>
    </row>
    <row r="26" spans="1:3" ht="15" customHeight="1" x14ac:dyDescent="0.25">
      <c r="B26" s="20" t="s">
        <v>104</v>
      </c>
      <c r="C26" s="67">
        <v>8.2500000000000004E-2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0.27200000000000002</v>
      </c>
    </row>
    <row r="30" spans="1:3" ht="14.25" customHeight="1" x14ac:dyDescent="0.25">
      <c r="B30" s="30" t="s">
        <v>76</v>
      </c>
      <c r="C30" s="69">
        <v>6.5000000000000002E-2</v>
      </c>
    </row>
    <row r="31" spans="1:3" ht="14.25" customHeight="1" x14ac:dyDescent="0.25">
      <c r="B31" s="30" t="s">
        <v>77</v>
      </c>
      <c r="C31" s="69">
        <v>0.11900000000000001</v>
      </c>
    </row>
    <row r="32" spans="1:3" ht="14.25" customHeight="1" x14ac:dyDescent="0.25">
      <c r="B32" s="30" t="s">
        <v>78</v>
      </c>
      <c r="C32" s="69">
        <v>0.54400000000000004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21.5</v>
      </c>
    </row>
    <row r="38" spans="1:5" ht="15" customHeight="1" x14ac:dyDescent="0.25">
      <c r="B38" s="16" t="s">
        <v>91</v>
      </c>
      <c r="C38" s="68">
        <v>35.1</v>
      </c>
      <c r="D38" s="17"/>
      <c r="E38" s="18"/>
    </row>
    <row r="39" spans="1:5" ht="15" customHeight="1" x14ac:dyDescent="0.25">
      <c r="B39" s="16" t="s">
        <v>90</v>
      </c>
      <c r="C39" s="68">
        <v>48.3</v>
      </c>
      <c r="D39" s="17"/>
      <c r="E39" s="17"/>
    </row>
    <row r="40" spans="1:5" ht="15" customHeight="1" x14ac:dyDescent="0.25">
      <c r="B40" s="16" t="s">
        <v>171</v>
      </c>
      <c r="C40" s="68">
        <v>2.91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2.63E-2</v>
      </c>
      <c r="D45" s="17"/>
    </row>
    <row r="46" spans="1:5" ht="15.75" customHeight="1" x14ac:dyDescent="0.25">
      <c r="B46" s="16" t="s">
        <v>11</v>
      </c>
      <c r="C46" s="67">
        <v>0.1368</v>
      </c>
      <c r="D46" s="17"/>
    </row>
    <row r="47" spans="1:5" ht="15.75" customHeight="1" x14ac:dyDescent="0.25">
      <c r="B47" s="16" t="s">
        <v>12</v>
      </c>
      <c r="C47" s="67">
        <v>0.21940000000000001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0.61749999999999994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3.4037880358349999</v>
      </c>
      <c r="D51" s="17"/>
    </row>
    <row r="52" spans="1:4" ht="15" customHeight="1" x14ac:dyDescent="0.25">
      <c r="B52" s="16" t="s">
        <v>125</v>
      </c>
      <c r="C52" s="65">
        <v>3.6249168675599996</v>
      </c>
    </row>
    <row r="53" spans="1:4" ht="15.75" customHeight="1" x14ac:dyDescent="0.25">
      <c r="B53" s="16" t="s">
        <v>126</v>
      </c>
      <c r="C53" s="65">
        <v>3.6249168675599996</v>
      </c>
    </row>
    <row r="54" spans="1:4" ht="15.75" customHeight="1" x14ac:dyDescent="0.25">
      <c r="B54" s="16" t="s">
        <v>127</v>
      </c>
      <c r="C54" s="65">
        <v>2.77366681126</v>
      </c>
    </row>
    <row r="55" spans="1:4" ht="15.75" customHeight="1" x14ac:dyDescent="0.25">
      <c r="B55" s="16" t="s">
        <v>128</v>
      </c>
      <c r="C55" s="65">
        <v>2.77366681126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0.34613422063006588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3.4037880358349999</v>
      </c>
      <c r="C2" s="26">
        <f>'Baseline year population inputs'!C52</f>
        <v>3.6249168675599996</v>
      </c>
      <c r="D2" s="26">
        <f>'Baseline year population inputs'!C53</f>
        <v>3.6249168675599996</v>
      </c>
      <c r="E2" s="26">
        <f>'Baseline year population inputs'!C54</f>
        <v>2.77366681126</v>
      </c>
      <c r="F2" s="26">
        <f>'Baseline year population inputs'!C55</f>
        <v>2.77366681126</v>
      </c>
    </row>
    <row r="3" spans="1:6" ht="15.75" customHeight="1" x14ac:dyDescent="0.25">
      <c r="A3" s="3" t="s">
        <v>65</v>
      </c>
      <c r="B3" s="26">
        <f>frac_mam_1month * 2.6</f>
        <v>8.1864442399999987E-2</v>
      </c>
      <c r="C3" s="26">
        <f>frac_mam_1_5months * 2.6</f>
        <v>8.1864442399999987E-2</v>
      </c>
      <c r="D3" s="26">
        <f>frac_mam_6_11months * 2.6</f>
        <v>8.4367238800000008E-2</v>
      </c>
      <c r="E3" s="26">
        <f>frac_mam_12_23months * 2.6</f>
        <v>2.9305099200000004E-2</v>
      </c>
      <c r="F3" s="26">
        <f>frac_mam_24_59months * 2.6</f>
        <v>5.4128866653333337E-2</v>
      </c>
    </row>
    <row r="4" spans="1:6" ht="15.75" customHeight="1" x14ac:dyDescent="0.25">
      <c r="A4" s="3" t="s">
        <v>66</v>
      </c>
      <c r="B4" s="26">
        <f>frac_sam_1month * 2.6</f>
        <v>4.6761351E-2</v>
      </c>
      <c r="C4" s="26">
        <f>frac_sam_1_5months * 2.6</f>
        <v>4.6761351E-2</v>
      </c>
      <c r="D4" s="26">
        <f>frac_sam_6_11months * 2.6</f>
        <v>8.0139958600000005E-2</v>
      </c>
      <c r="E4" s="26">
        <f>frac_sam_12_23months * 2.6</f>
        <v>2.5585359800000002E-2</v>
      </c>
      <c r="F4" s="26">
        <f>frac_sam_24_59months * 2.6</f>
        <v>2.454241434666667E-2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E17" sqref="E1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3.4000000000000002E-2</v>
      </c>
      <c r="E2" s="93">
        <f>food_insecure</f>
        <v>3.4000000000000002E-2</v>
      </c>
      <c r="F2" s="93">
        <f>food_insecure</f>
        <v>3.4000000000000002E-2</v>
      </c>
      <c r="G2" s="93">
        <f>food_insecure</f>
        <v>3.4000000000000002E-2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3.4000000000000002E-2</v>
      </c>
      <c r="F5" s="93">
        <f>food_insecure</f>
        <v>3.4000000000000002E-2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diarrhoea_1mo/26</f>
        <v>0.13091492445519232</v>
      </c>
      <c r="D7" s="93">
        <f>diarrhoea_1_5mo/26</f>
        <v>0.13941987952153845</v>
      </c>
      <c r="E7" s="93">
        <f>diarrhoea_6_11mo/26</f>
        <v>0.13941987952153845</v>
      </c>
      <c r="F7" s="93">
        <f>diarrhoea_12_23mo/26</f>
        <v>0.10667949274076924</v>
      </c>
      <c r="G7" s="93">
        <f>diarrhoea_24_59mo/26</f>
        <v>0.10667949274076924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3.4000000000000002E-2</v>
      </c>
      <c r="F8" s="93">
        <f>food_insecure</f>
        <v>3.4000000000000002E-2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diarrhoea_1mo/26</f>
        <v>0.13091492445519232</v>
      </c>
      <c r="D12" s="93">
        <f>diarrhoea_1_5mo/26</f>
        <v>0.13941987952153845</v>
      </c>
      <c r="E12" s="93">
        <f>diarrhoea_6_11mo/26</f>
        <v>0.13941987952153845</v>
      </c>
      <c r="F12" s="93">
        <f>diarrhoea_12_23mo/26</f>
        <v>0.10667949274076924</v>
      </c>
      <c r="G12" s="93">
        <f>diarrhoea_24_59mo/26</f>
        <v>0.10667949274076924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3.4000000000000002E-2</v>
      </c>
      <c r="I15" s="93">
        <f>food_insecure</f>
        <v>3.4000000000000002E-2</v>
      </c>
      <c r="J15" s="93">
        <f>food_insecure</f>
        <v>3.4000000000000002E-2</v>
      </c>
      <c r="K15" s="93">
        <f>food_insecure</f>
        <v>3.4000000000000002E-2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0.77599999999999991</v>
      </c>
      <c r="I18" s="93">
        <f>frac_PW_health_facility</f>
        <v>0.77599999999999991</v>
      </c>
      <c r="J18" s="93">
        <f>frac_PW_health_facility</f>
        <v>0.77599999999999991</v>
      </c>
      <c r="K18" s="93">
        <f>frac_PW_health_facility</f>
        <v>0.77599999999999991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0.96</v>
      </c>
      <c r="I19" s="93">
        <f>frac_malaria_risk</f>
        <v>0.96</v>
      </c>
      <c r="J19" s="93">
        <f>frac_malaria_risk</f>
        <v>0.96</v>
      </c>
      <c r="K19" s="93">
        <f>frac_malaria_risk</f>
        <v>0.96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0.66299999999999992</v>
      </c>
      <c r="M24" s="93">
        <f>famplan_unmet_need</f>
        <v>0.66299999999999992</v>
      </c>
      <c r="N24" s="93">
        <f>famplan_unmet_need</f>
        <v>0.66299999999999992</v>
      </c>
      <c r="O24" s="93">
        <f>famplan_unmet_need</f>
        <v>0.66299999999999992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0.33505584958288798</v>
      </c>
      <c r="M25" s="93">
        <f>(1-food_insecure)*(0.49)+food_insecure*(0.7)</f>
        <v>0.49713999999999997</v>
      </c>
      <c r="N25" s="93">
        <f>(1-food_insecure)*(0.49)+food_insecure*(0.7)</f>
        <v>0.49713999999999997</v>
      </c>
      <c r="O25" s="93">
        <f>(1-food_insecure)*(0.49)+food_insecure*(0.7)</f>
        <v>0.49713999999999997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0.14359536410695201</v>
      </c>
      <c r="M26" s="93">
        <f>(1-food_insecure)*(0.21)+food_insecure*(0.3)</f>
        <v>0.21305999999999997</v>
      </c>
      <c r="N26" s="93">
        <f>(1-food_insecure)*(0.21)+food_insecure*(0.3)</f>
        <v>0.21305999999999997</v>
      </c>
      <c r="O26" s="93">
        <f>(1-food_insecure)*(0.21)+food_insecure*(0.3)</f>
        <v>0.21305999999999997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0.19531557551015999</v>
      </c>
      <c r="M27" s="93">
        <f>(1-food_insecure)*(0.3)</f>
        <v>0.2898</v>
      </c>
      <c r="N27" s="93">
        <f>(1-food_insecure)*(0.3)</f>
        <v>0.2898</v>
      </c>
      <c r="O27" s="93">
        <f>(1-food_insecure)*(0.3)</f>
        <v>0.2898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0.96</v>
      </c>
      <c r="D34" s="93">
        <f t="shared" si="3"/>
        <v>0.96</v>
      </c>
      <c r="E34" s="93">
        <f t="shared" si="3"/>
        <v>0.96</v>
      </c>
      <c r="F34" s="93">
        <f t="shared" si="3"/>
        <v>0.96</v>
      </c>
      <c r="G34" s="93">
        <f t="shared" si="3"/>
        <v>0.96</v>
      </c>
      <c r="H34" s="93">
        <f t="shared" si="3"/>
        <v>0.96</v>
      </c>
      <c r="I34" s="93">
        <f t="shared" si="3"/>
        <v>0.96</v>
      </c>
      <c r="J34" s="93">
        <f t="shared" si="3"/>
        <v>0.96</v>
      </c>
      <c r="K34" s="93">
        <f t="shared" si="3"/>
        <v>0.96</v>
      </c>
      <c r="L34" s="93">
        <f t="shared" si="3"/>
        <v>0.96</v>
      </c>
      <c r="M34" s="93">
        <f t="shared" si="3"/>
        <v>0.96</v>
      </c>
      <c r="N34" s="93">
        <f t="shared" si="3"/>
        <v>0.96</v>
      </c>
      <c r="O34" s="93">
        <f t="shared" si="3"/>
        <v>0.96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58281.345000000001</v>
      </c>
      <c r="C2" s="75">
        <v>97000</v>
      </c>
      <c r="D2" s="75">
        <v>176000</v>
      </c>
      <c r="E2" s="75">
        <v>152000</v>
      </c>
      <c r="F2" s="75">
        <v>105000</v>
      </c>
      <c r="G2" s="22">
        <f t="shared" ref="G2:G40" si="0">C2+D2+E2+F2</f>
        <v>530000</v>
      </c>
      <c r="H2" s="22">
        <f t="shared" ref="H2:H40" si="1">(B2 + stillbirth*B2/(1000-stillbirth))/(1-abortion)</f>
        <v>67941.228929145975</v>
      </c>
      <c r="I2" s="22">
        <f>G2-H2</f>
        <v>462058.77107085404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58382.34</v>
      </c>
      <c r="C3" s="75">
        <v>99000</v>
      </c>
      <c r="D3" s="75">
        <v>178000</v>
      </c>
      <c r="E3" s="75">
        <v>155000</v>
      </c>
      <c r="F3" s="75">
        <v>109000</v>
      </c>
      <c r="G3" s="22">
        <f t="shared" si="0"/>
        <v>541000</v>
      </c>
      <c r="H3" s="22">
        <f t="shared" si="1"/>
        <v>68058.96341889906</v>
      </c>
      <c r="I3" s="22">
        <f t="shared" ref="I3:I15" si="3">G3-H3</f>
        <v>472941.03658110095</v>
      </c>
    </row>
    <row r="4" spans="1:9" ht="15.75" customHeight="1" x14ac:dyDescent="0.25">
      <c r="A4" s="92">
        <f t="shared" si="2"/>
        <v>2022</v>
      </c>
      <c r="B4" s="74">
        <v>58467.75</v>
      </c>
      <c r="C4" s="75">
        <v>102000</v>
      </c>
      <c r="D4" s="75">
        <v>179000</v>
      </c>
      <c r="E4" s="75">
        <v>158000</v>
      </c>
      <c r="F4" s="75">
        <v>114000</v>
      </c>
      <c r="G4" s="22">
        <f t="shared" si="0"/>
        <v>553000</v>
      </c>
      <c r="H4" s="22">
        <f t="shared" si="1"/>
        <v>68158.529761488418</v>
      </c>
      <c r="I4" s="22">
        <f t="shared" si="3"/>
        <v>484841.47023851157</v>
      </c>
    </row>
    <row r="5" spans="1:9" ht="15.75" customHeight="1" x14ac:dyDescent="0.25">
      <c r="A5" s="92">
        <f t="shared" si="2"/>
        <v>2023</v>
      </c>
      <c r="B5" s="74">
        <v>58536.12</v>
      </c>
      <c r="C5" s="75">
        <v>105000</v>
      </c>
      <c r="D5" s="75">
        <v>181000</v>
      </c>
      <c r="E5" s="75">
        <v>160000</v>
      </c>
      <c r="F5" s="75">
        <v>118000</v>
      </c>
      <c r="G5" s="22">
        <f t="shared" si="0"/>
        <v>564000</v>
      </c>
      <c r="H5" s="22">
        <f t="shared" si="1"/>
        <v>68238.231796880471</v>
      </c>
      <c r="I5" s="22">
        <f t="shared" si="3"/>
        <v>495761.76820311951</v>
      </c>
    </row>
    <row r="6" spans="1:9" ht="15.75" customHeight="1" x14ac:dyDescent="0.25">
      <c r="A6" s="92">
        <f t="shared" si="2"/>
        <v>2024</v>
      </c>
      <c r="B6" s="74">
        <v>58535.684999999998</v>
      </c>
      <c r="C6" s="75">
        <v>108000</v>
      </c>
      <c r="D6" s="75">
        <v>182000</v>
      </c>
      <c r="E6" s="75">
        <v>162000</v>
      </c>
      <c r="F6" s="75">
        <v>122000</v>
      </c>
      <c r="G6" s="22">
        <f t="shared" si="0"/>
        <v>574000</v>
      </c>
      <c r="H6" s="22">
        <f t="shared" si="1"/>
        <v>68237.724697488986</v>
      </c>
      <c r="I6" s="22">
        <f t="shared" si="3"/>
        <v>505762.275302511</v>
      </c>
    </row>
    <row r="7" spans="1:9" ht="15.75" customHeight="1" x14ac:dyDescent="0.25">
      <c r="A7" s="92">
        <f t="shared" si="2"/>
        <v>2025</v>
      </c>
      <c r="B7" s="74">
        <v>58492.570000000007</v>
      </c>
      <c r="C7" s="75">
        <v>112000</v>
      </c>
      <c r="D7" s="75">
        <v>185000</v>
      </c>
      <c r="E7" s="75">
        <v>165000</v>
      </c>
      <c r="F7" s="75">
        <v>126000</v>
      </c>
      <c r="G7" s="22">
        <f t="shared" si="0"/>
        <v>588000</v>
      </c>
      <c r="H7" s="22">
        <f t="shared" si="1"/>
        <v>68187.463570446023</v>
      </c>
      <c r="I7" s="22">
        <f t="shared" si="3"/>
        <v>519812.53642955399</v>
      </c>
    </row>
    <row r="8" spans="1:9" ht="15.75" customHeight="1" x14ac:dyDescent="0.25">
      <c r="A8" s="92">
        <f t="shared" si="2"/>
        <v>2026</v>
      </c>
      <c r="B8" s="74">
        <v>58786.896000000001</v>
      </c>
      <c r="C8" s="75">
        <v>116000</v>
      </c>
      <c r="D8" s="75">
        <v>189000</v>
      </c>
      <c r="E8" s="75">
        <v>167000</v>
      </c>
      <c r="F8" s="75">
        <v>130000</v>
      </c>
      <c r="G8" s="22">
        <f t="shared" si="0"/>
        <v>602000</v>
      </c>
      <c r="H8" s="22">
        <f t="shared" si="1"/>
        <v>68530.572847450516</v>
      </c>
      <c r="I8" s="22">
        <f t="shared" si="3"/>
        <v>533469.4271525495</v>
      </c>
    </row>
    <row r="9" spans="1:9" ht="15.75" customHeight="1" x14ac:dyDescent="0.25">
      <c r="A9" s="92">
        <f t="shared" si="2"/>
        <v>2027</v>
      </c>
      <c r="B9" s="74">
        <v>59076.408000000003</v>
      </c>
      <c r="C9" s="75">
        <v>119000</v>
      </c>
      <c r="D9" s="75">
        <v>192000</v>
      </c>
      <c r="E9" s="75">
        <v>168000</v>
      </c>
      <c r="F9" s="75">
        <v>134000</v>
      </c>
      <c r="G9" s="22">
        <f t="shared" si="0"/>
        <v>613000</v>
      </c>
      <c r="H9" s="22">
        <f t="shared" si="1"/>
        <v>68868.070224522628</v>
      </c>
      <c r="I9" s="22">
        <f t="shared" si="3"/>
        <v>544131.92977547739</v>
      </c>
    </row>
    <row r="10" spans="1:9" ht="15.75" customHeight="1" x14ac:dyDescent="0.25">
      <c r="A10" s="92">
        <f t="shared" si="2"/>
        <v>2028</v>
      </c>
      <c r="B10" s="74">
        <v>59312.748800000001</v>
      </c>
      <c r="C10" s="75">
        <v>123000</v>
      </c>
      <c r="D10" s="75">
        <v>196000</v>
      </c>
      <c r="E10" s="75">
        <v>170000</v>
      </c>
      <c r="F10" s="75">
        <v>138000</v>
      </c>
      <c r="G10" s="22">
        <f t="shared" si="0"/>
        <v>627000</v>
      </c>
      <c r="H10" s="22">
        <f t="shared" si="1"/>
        <v>69143.583502366469</v>
      </c>
      <c r="I10" s="22">
        <f t="shared" si="3"/>
        <v>557856.41649763356</v>
      </c>
    </row>
    <row r="11" spans="1:9" ht="15.75" customHeight="1" x14ac:dyDescent="0.25">
      <c r="A11" s="92">
        <f t="shared" si="2"/>
        <v>2029</v>
      </c>
      <c r="B11" s="74">
        <v>59543.6204</v>
      </c>
      <c r="C11" s="75">
        <v>127000</v>
      </c>
      <c r="D11" s="75">
        <v>202000</v>
      </c>
      <c r="E11" s="75">
        <v>171000</v>
      </c>
      <c r="F11" s="75">
        <v>142000</v>
      </c>
      <c r="G11" s="22">
        <f t="shared" si="0"/>
        <v>642000</v>
      </c>
      <c r="H11" s="22">
        <f t="shared" si="1"/>
        <v>69412.721083677228</v>
      </c>
      <c r="I11" s="22">
        <f t="shared" si="3"/>
        <v>572587.27891632274</v>
      </c>
    </row>
    <row r="12" spans="1:9" ht="15.75" customHeight="1" x14ac:dyDescent="0.25">
      <c r="A12" s="92">
        <f t="shared" si="2"/>
        <v>2030</v>
      </c>
      <c r="B12" s="74">
        <v>59745.008000000002</v>
      </c>
      <c r="C12" s="75">
        <v>130000</v>
      </c>
      <c r="D12" s="75">
        <v>207000</v>
      </c>
      <c r="E12" s="75">
        <v>172000</v>
      </c>
      <c r="F12" s="75">
        <v>146000</v>
      </c>
      <c r="G12" s="22">
        <f t="shared" si="0"/>
        <v>655000</v>
      </c>
      <c r="H12" s="22">
        <f t="shared" si="1"/>
        <v>69647.487817957139</v>
      </c>
      <c r="I12" s="22">
        <f t="shared" si="3"/>
        <v>585352.51218204282</v>
      </c>
    </row>
    <row r="13" spans="1:9" ht="15.75" customHeight="1" x14ac:dyDescent="0.25">
      <c r="A13" s="92" t="str">
        <f t="shared" si="2"/>
        <v/>
      </c>
      <c r="B13" s="74">
        <v>95000</v>
      </c>
      <c r="C13" s="75">
        <v>174000</v>
      </c>
      <c r="D13" s="75">
        <v>148000</v>
      </c>
      <c r="E13" s="75">
        <v>101000</v>
      </c>
      <c r="F13" s="75">
        <v>3.6742343500000003E-2</v>
      </c>
      <c r="G13" s="22">
        <f t="shared" si="0"/>
        <v>423000.03674234351</v>
      </c>
      <c r="H13" s="22">
        <f t="shared" si="1"/>
        <v>110745.84411648131</v>
      </c>
      <c r="I13" s="22">
        <f t="shared" si="3"/>
        <v>312254.1926258622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3" sqref="C3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0.16</v>
      </c>
      <c r="E5" s="121">
        <v>0.16</v>
      </c>
      <c r="F5" s="121">
        <v>0.16</v>
      </c>
      <c r="G5" s="121">
        <v>0.16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49"/>
  <sheetViews>
    <sheetView topLeftCell="B25" zoomScaleNormal="100" workbookViewId="0">
      <selection activeCell="D37" sqref="D37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62</v>
      </c>
      <c r="B17" s="53" t="s">
        <v>27</v>
      </c>
      <c r="C17" s="53" t="s">
        <v>267</v>
      </c>
      <c r="D17" s="121">
        <v>0.7</v>
      </c>
      <c r="E17" s="121">
        <v>0</v>
      </c>
      <c r="F17" s="121">
        <v>0</v>
      </c>
      <c r="G17" s="121">
        <v>0</v>
      </c>
      <c r="H17" s="121">
        <v>0</v>
      </c>
      <c r="I17" s="36"/>
    </row>
    <row r="18" spans="1:9" x14ac:dyDescent="0.25">
      <c r="C18" s="53" t="s">
        <v>268</v>
      </c>
      <c r="D18" s="121">
        <v>0.19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A19" s="53" t="s">
        <v>63</v>
      </c>
      <c r="B19" s="53" t="s">
        <v>27</v>
      </c>
      <c r="C19" s="53" t="s">
        <v>267</v>
      </c>
      <c r="D19" s="121">
        <v>0.7</v>
      </c>
      <c r="E19" s="121">
        <v>0</v>
      </c>
      <c r="F19" s="121">
        <v>0</v>
      </c>
      <c r="G19" s="121">
        <v>0</v>
      </c>
      <c r="H19" s="121">
        <v>0</v>
      </c>
    </row>
    <row r="20" spans="1:9" x14ac:dyDescent="0.25">
      <c r="C20" s="53" t="s">
        <v>268</v>
      </c>
      <c r="D20" s="121">
        <v>0.19</v>
      </c>
      <c r="E20" s="121">
        <v>0</v>
      </c>
      <c r="F20" s="121">
        <v>0</v>
      </c>
      <c r="G20" s="121">
        <v>0</v>
      </c>
      <c r="H20" s="121">
        <v>0</v>
      </c>
    </row>
    <row r="21" spans="1:9" x14ac:dyDescent="0.25">
      <c r="A21" s="53" t="s">
        <v>64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</row>
    <row r="23" spans="1:9" x14ac:dyDescent="0.25">
      <c r="A23" s="53" t="s">
        <v>79</v>
      </c>
      <c r="B23" s="53" t="s">
        <v>71</v>
      </c>
      <c r="C23" s="53" t="s">
        <v>267</v>
      </c>
      <c r="D23" s="121">
        <v>1</v>
      </c>
      <c r="E23" s="121">
        <v>1</v>
      </c>
      <c r="F23" s="121">
        <v>1</v>
      </c>
      <c r="G23" s="121">
        <v>1</v>
      </c>
      <c r="H23" s="121">
        <v>1</v>
      </c>
    </row>
    <row r="24" spans="1:9" x14ac:dyDescent="0.25">
      <c r="C24" s="53" t="s">
        <v>268</v>
      </c>
      <c r="D24" s="121">
        <v>0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C25" s="53" t="s">
        <v>269</v>
      </c>
      <c r="D25" s="121">
        <v>0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A26" s="53" t="s">
        <v>80</v>
      </c>
      <c r="B26" s="53" t="s">
        <v>71</v>
      </c>
      <c r="C26" s="53" t="s">
        <v>267</v>
      </c>
      <c r="D26" s="121">
        <v>1</v>
      </c>
      <c r="E26" s="121">
        <v>1</v>
      </c>
      <c r="F26" s="121">
        <v>1</v>
      </c>
      <c r="G26" s="121">
        <v>1</v>
      </c>
      <c r="H26" s="121">
        <v>1</v>
      </c>
    </row>
    <row r="27" spans="1:9" x14ac:dyDescent="0.25">
      <c r="C27" s="53" t="s">
        <v>268</v>
      </c>
      <c r="D27" s="121">
        <v>0</v>
      </c>
      <c r="E27" s="121">
        <v>0</v>
      </c>
      <c r="F27" s="121">
        <v>0</v>
      </c>
      <c r="G27" s="121">
        <v>0</v>
      </c>
      <c r="H27" s="121">
        <v>0</v>
      </c>
    </row>
    <row r="28" spans="1:9" x14ac:dyDescent="0.25">
      <c r="C28" s="53" t="s">
        <v>269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A29" s="53" t="s">
        <v>81</v>
      </c>
      <c r="B29" s="53" t="s">
        <v>71</v>
      </c>
      <c r="C29" s="53" t="s">
        <v>267</v>
      </c>
      <c r="D29" s="121">
        <v>1</v>
      </c>
      <c r="E29" s="121">
        <v>1</v>
      </c>
      <c r="F29" s="121">
        <v>1</v>
      </c>
      <c r="G29" s="121">
        <v>1</v>
      </c>
      <c r="H29" s="121">
        <v>1</v>
      </c>
    </row>
    <row r="30" spans="1:9" x14ac:dyDescent="0.25">
      <c r="C30" s="53" t="s">
        <v>268</v>
      </c>
      <c r="D30" s="121">
        <v>0</v>
      </c>
      <c r="E30" s="121">
        <v>0</v>
      </c>
      <c r="F30" s="121">
        <v>0</v>
      </c>
      <c r="G30" s="121">
        <v>0</v>
      </c>
      <c r="H30" s="121">
        <v>0</v>
      </c>
    </row>
    <row r="31" spans="1:9" x14ac:dyDescent="0.25">
      <c r="C31" s="53" t="s">
        <v>269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A32" s="53" t="s">
        <v>82</v>
      </c>
      <c r="B32" s="53" t="s">
        <v>71</v>
      </c>
      <c r="C32" s="53" t="s">
        <v>267</v>
      </c>
      <c r="D32" s="121">
        <v>1</v>
      </c>
      <c r="E32" s="121">
        <v>1</v>
      </c>
      <c r="F32" s="121">
        <v>1</v>
      </c>
      <c r="G32" s="121">
        <v>1</v>
      </c>
      <c r="H32" s="121">
        <v>1</v>
      </c>
    </row>
    <row r="33" spans="1:8" x14ac:dyDescent="0.25">
      <c r="C33" s="53" t="s">
        <v>268</v>
      </c>
      <c r="D33" s="121">
        <v>0</v>
      </c>
      <c r="E33" s="121">
        <v>0</v>
      </c>
      <c r="F33" s="121">
        <v>0</v>
      </c>
      <c r="G33" s="121">
        <v>0</v>
      </c>
      <c r="H33" s="121">
        <v>0</v>
      </c>
    </row>
    <row r="34" spans="1:8" x14ac:dyDescent="0.25">
      <c r="C34" s="53" t="s">
        <v>269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A35" s="53" t="s">
        <v>83</v>
      </c>
      <c r="B35" s="53" t="s">
        <v>71</v>
      </c>
      <c r="C35" s="53" t="s">
        <v>267</v>
      </c>
      <c r="D35" s="121">
        <v>1</v>
      </c>
      <c r="E35" s="121">
        <v>1</v>
      </c>
      <c r="F35" s="121">
        <v>1</v>
      </c>
      <c r="G35" s="121">
        <v>1</v>
      </c>
      <c r="H35" s="121">
        <v>1</v>
      </c>
    </row>
    <row r="36" spans="1:8" x14ac:dyDescent="0.25">
      <c r="C36" s="53" t="s">
        <v>268</v>
      </c>
      <c r="D36" s="121">
        <v>0</v>
      </c>
      <c r="E36" s="121">
        <v>0</v>
      </c>
      <c r="F36" s="121">
        <v>0</v>
      </c>
      <c r="G36" s="121">
        <v>0</v>
      </c>
      <c r="H36" s="121">
        <v>0</v>
      </c>
    </row>
    <row r="37" spans="1:8" x14ac:dyDescent="0.25">
      <c r="C37" s="53" t="s">
        <v>269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A38" s="53" t="s">
        <v>60</v>
      </c>
      <c r="B38" s="53" t="s">
        <v>71</v>
      </c>
      <c r="C38" s="53" t="s">
        <v>267</v>
      </c>
      <c r="D38" s="121">
        <v>0.3</v>
      </c>
      <c r="E38" s="121">
        <v>0.3</v>
      </c>
      <c r="F38" s="121">
        <v>0.3</v>
      </c>
      <c r="G38" s="121">
        <v>0.3</v>
      </c>
      <c r="H38" s="121">
        <v>0.3</v>
      </c>
    </row>
    <row r="39" spans="1:8" x14ac:dyDescent="0.25">
      <c r="C39" s="53" t="s">
        <v>268</v>
      </c>
      <c r="D39" s="121">
        <v>0.5</v>
      </c>
      <c r="E39" s="121">
        <v>0.5</v>
      </c>
      <c r="F39" s="121">
        <v>0.5</v>
      </c>
      <c r="G39" s="121">
        <v>0.5</v>
      </c>
      <c r="H39" s="121">
        <v>0.5</v>
      </c>
    </row>
    <row r="40" spans="1:8" x14ac:dyDescent="0.25">
      <c r="C40" s="53" t="s">
        <v>269</v>
      </c>
      <c r="D40" s="121">
        <v>0.65</v>
      </c>
      <c r="E40" s="121">
        <v>0.65</v>
      </c>
      <c r="F40" s="121">
        <v>0.65</v>
      </c>
      <c r="G40" s="121">
        <v>0.65</v>
      </c>
      <c r="H40" s="121">
        <v>0.65</v>
      </c>
    </row>
    <row r="41" spans="1:8" x14ac:dyDescent="0.25">
      <c r="B41" s="53" t="s">
        <v>16</v>
      </c>
      <c r="C41" s="53" t="s">
        <v>267</v>
      </c>
      <c r="D41" s="121">
        <v>0.3</v>
      </c>
      <c r="E41" s="121">
        <v>0.3</v>
      </c>
      <c r="F41" s="121">
        <v>0.3</v>
      </c>
      <c r="G41" s="121">
        <v>0.3</v>
      </c>
      <c r="H41" s="121">
        <v>0.3</v>
      </c>
    </row>
    <row r="42" spans="1:8" x14ac:dyDescent="0.25">
      <c r="C42" s="53" t="s">
        <v>268</v>
      </c>
      <c r="D42" s="121">
        <v>0.5</v>
      </c>
      <c r="E42" s="121">
        <v>0.5</v>
      </c>
      <c r="F42" s="121">
        <v>0.5</v>
      </c>
      <c r="G42" s="121">
        <v>0.5</v>
      </c>
      <c r="H42" s="121">
        <v>0.5</v>
      </c>
    </row>
    <row r="43" spans="1:8" x14ac:dyDescent="0.25">
      <c r="C43" s="53" t="s">
        <v>269</v>
      </c>
      <c r="D43" s="121">
        <v>0.63</v>
      </c>
      <c r="E43" s="121">
        <v>0.63</v>
      </c>
      <c r="F43" s="121">
        <v>0.63</v>
      </c>
      <c r="G43" s="121">
        <v>0.63</v>
      </c>
      <c r="H43" s="121">
        <v>0.63</v>
      </c>
    </row>
    <row r="44" spans="1:8" x14ac:dyDescent="0.25">
      <c r="A44" s="53" t="s">
        <v>84</v>
      </c>
      <c r="B44" s="53" t="s">
        <v>71</v>
      </c>
      <c r="C44" s="53" t="s">
        <v>267</v>
      </c>
      <c r="D44" s="121">
        <v>0.88</v>
      </c>
      <c r="E44" s="121">
        <v>0.88</v>
      </c>
      <c r="F44" s="121">
        <v>0.88</v>
      </c>
      <c r="G44" s="121">
        <v>0.88</v>
      </c>
      <c r="H44" s="121">
        <v>0.88</v>
      </c>
    </row>
    <row r="45" spans="1:8" x14ac:dyDescent="0.25">
      <c r="C45" s="53" t="s">
        <v>268</v>
      </c>
      <c r="D45" s="121">
        <v>0.8</v>
      </c>
      <c r="E45" s="121">
        <v>0.8</v>
      </c>
      <c r="F45" s="121">
        <v>0.8</v>
      </c>
      <c r="G45" s="121">
        <v>0.8</v>
      </c>
      <c r="H45" s="121">
        <v>0.8</v>
      </c>
    </row>
    <row r="46" spans="1:8" x14ac:dyDescent="0.25">
      <c r="A46" s="53" t="s">
        <v>85</v>
      </c>
      <c r="B46" s="53" t="s">
        <v>71</v>
      </c>
      <c r="C46" s="53" t="s">
        <v>267</v>
      </c>
      <c r="D46" s="121">
        <v>1</v>
      </c>
      <c r="E46" s="121">
        <v>1</v>
      </c>
      <c r="F46" s="121">
        <v>1</v>
      </c>
      <c r="G46" s="121">
        <v>1</v>
      </c>
      <c r="H46" s="121">
        <v>1</v>
      </c>
    </row>
    <row r="47" spans="1:8" x14ac:dyDescent="0.25">
      <c r="C47" s="53" t="s">
        <v>268</v>
      </c>
      <c r="D47" s="121">
        <v>0.76</v>
      </c>
      <c r="E47" s="121">
        <v>0.76</v>
      </c>
      <c r="F47" s="121">
        <v>0.76</v>
      </c>
      <c r="G47" s="121">
        <v>0.76</v>
      </c>
      <c r="H47" s="121">
        <v>0.76</v>
      </c>
    </row>
    <row r="48" spans="1:8" x14ac:dyDescent="0.25">
      <c r="A48" s="53" t="s">
        <v>196</v>
      </c>
      <c r="B48" s="53" t="s">
        <v>13</v>
      </c>
      <c r="C48" s="53" t="s">
        <v>267</v>
      </c>
      <c r="D48" s="121">
        <v>0.57999999999999996</v>
      </c>
      <c r="E48" s="121">
        <v>0</v>
      </c>
      <c r="F48" s="121">
        <v>0</v>
      </c>
      <c r="G48" s="121">
        <v>0</v>
      </c>
      <c r="H48" s="121">
        <v>0</v>
      </c>
    </row>
    <row r="49" spans="3:8" x14ac:dyDescent="0.25">
      <c r="C49" s="53" t="s">
        <v>268</v>
      </c>
      <c r="D49" s="121">
        <v>0.88</v>
      </c>
      <c r="E49" s="121">
        <v>0</v>
      </c>
      <c r="F49" s="121">
        <v>0</v>
      </c>
      <c r="G49" s="121">
        <v>0</v>
      </c>
      <c r="H49" s="121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3.6742343500000003E-2</v>
      </c>
    </row>
    <row r="4" spans="1:8" ht="15.75" customHeight="1" x14ac:dyDescent="0.25">
      <c r="B4" s="24" t="s">
        <v>7</v>
      </c>
      <c r="C4" s="76">
        <v>0.1566636264195245</v>
      </c>
    </row>
    <row r="5" spans="1:8" ht="15.75" customHeight="1" x14ac:dyDescent="0.25">
      <c r="B5" s="24" t="s">
        <v>8</v>
      </c>
      <c r="C5" s="76">
        <v>9.8551715232010229E-2</v>
      </c>
    </row>
    <row r="6" spans="1:8" ht="15.75" customHeight="1" x14ac:dyDescent="0.25">
      <c r="B6" s="24" t="s">
        <v>10</v>
      </c>
      <c r="C6" s="76">
        <v>8.6289419515848426E-2</v>
      </c>
    </row>
    <row r="7" spans="1:8" ht="15.75" customHeight="1" x14ac:dyDescent="0.25">
      <c r="B7" s="24" t="s">
        <v>13</v>
      </c>
      <c r="C7" s="76">
        <v>0.12455964923265794</v>
      </c>
    </row>
    <row r="8" spans="1:8" ht="15.75" customHeight="1" x14ac:dyDescent="0.25">
      <c r="B8" s="24" t="s">
        <v>14</v>
      </c>
      <c r="C8" s="76">
        <v>1.737624613380789E-3</v>
      </c>
    </row>
    <row r="9" spans="1:8" ht="15.75" customHeight="1" x14ac:dyDescent="0.25">
      <c r="B9" s="24" t="s">
        <v>27</v>
      </c>
      <c r="C9" s="76">
        <v>0.142771515928864</v>
      </c>
    </row>
    <row r="10" spans="1:8" ht="15.75" customHeight="1" x14ac:dyDescent="0.25">
      <c r="B10" s="24" t="s">
        <v>15</v>
      </c>
      <c r="C10" s="76">
        <v>0.35268410555771412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0.11819821214303999</v>
      </c>
      <c r="D14" s="76">
        <v>0.11819821214303999</v>
      </c>
      <c r="E14" s="76">
        <v>6.2420060624381192E-2</v>
      </c>
      <c r="F14" s="76">
        <v>6.2420060624381192E-2</v>
      </c>
    </row>
    <row r="15" spans="1:8" ht="15.75" customHeight="1" x14ac:dyDescent="0.25">
      <c r="B15" s="24" t="s">
        <v>16</v>
      </c>
      <c r="C15" s="76">
        <v>0.13607269109275499</v>
      </c>
      <c r="D15" s="76">
        <v>0.13607269109275499</v>
      </c>
      <c r="E15" s="76">
        <v>7.1376097038196196E-2</v>
      </c>
      <c r="F15" s="76">
        <v>7.1376097038196196E-2</v>
      </c>
    </row>
    <row r="16" spans="1:8" ht="15.75" customHeight="1" x14ac:dyDescent="0.25">
      <c r="B16" s="24" t="s">
        <v>17</v>
      </c>
      <c r="C16" s="76">
        <v>3.4192727991696301E-2</v>
      </c>
      <c r="D16" s="76">
        <v>3.4192727991696301E-2</v>
      </c>
      <c r="E16" s="76">
        <v>2.1937494125977605E-2</v>
      </c>
      <c r="F16" s="76">
        <v>2.1937494125977605E-2</v>
      </c>
    </row>
    <row r="17" spans="1:8" ht="15.75" customHeight="1" x14ac:dyDescent="0.25">
      <c r="B17" s="24" t="s">
        <v>18</v>
      </c>
      <c r="C17" s="76">
        <v>1.96913463115332E-2</v>
      </c>
      <c r="D17" s="76">
        <v>1.96913463115332E-2</v>
      </c>
      <c r="E17" s="76">
        <v>5.26516042430707E-2</v>
      </c>
      <c r="F17" s="76">
        <v>5.26516042430707E-2</v>
      </c>
    </row>
    <row r="18" spans="1:8" ht="15.75" customHeight="1" x14ac:dyDescent="0.25">
      <c r="B18" s="24" t="s">
        <v>19</v>
      </c>
      <c r="C18" s="76">
        <v>0.23291984663887</v>
      </c>
      <c r="D18" s="76">
        <v>0.23291984663887</v>
      </c>
      <c r="E18" s="76">
        <v>0.32152999401399801</v>
      </c>
      <c r="F18" s="76">
        <v>0.32152999401399801</v>
      </c>
    </row>
    <row r="19" spans="1:8" ht="15.75" customHeight="1" x14ac:dyDescent="0.25">
      <c r="B19" s="24" t="s">
        <v>20</v>
      </c>
      <c r="C19" s="76">
        <v>1.32267966707452E-2</v>
      </c>
      <c r="D19" s="76">
        <v>1.32267966707452E-2</v>
      </c>
      <c r="E19" s="76">
        <v>1.4834973397586999E-2</v>
      </c>
      <c r="F19" s="76">
        <v>1.4834973397586999E-2</v>
      </c>
    </row>
    <row r="20" spans="1:8" ht="15.75" customHeight="1" x14ac:dyDescent="0.25">
      <c r="B20" s="24" t="s">
        <v>21</v>
      </c>
      <c r="C20" s="76">
        <v>4.6687955450066404E-2</v>
      </c>
      <c r="D20" s="76">
        <v>4.6687955450066404E-2</v>
      </c>
      <c r="E20" s="76">
        <v>1.69504232115863E-2</v>
      </c>
      <c r="F20" s="76">
        <v>1.69504232115863E-2</v>
      </c>
    </row>
    <row r="21" spans="1:8" ht="15.75" customHeight="1" x14ac:dyDescent="0.25">
      <c r="B21" s="24" t="s">
        <v>22</v>
      </c>
      <c r="C21" s="76">
        <v>4.8664038038933002E-2</v>
      </c>
      <c r="D21" s="76">
        <v>4.8664038038933002E-2</v>
      </c>
      <c r="E21" s="76">
        <v>0.17555906882465899</v>
      </c>
      <c r="F21" s="76">
        <v>0.17555906882465899</v>
      </c>
    </row>
    <row r="22" spans="1:8" ht="15.75" customHeight="1" x14ac:dyDescent="0.25">
      <c r="B22" s="24" t="s">
        <v>23</v>
      </c>
      <c r="C22" s="76">
        <v>0.35034638566236087</v>
      </c>
      <c r="D22" s="76">
        <v>0.35034638566236087</v>
      </c>
      <c r="E22" s="76">
        <v>0.26274028452054399</v>
      </c>
      <c r="F22" s="76">
        <v>0.26274028452054399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9.5700000000000007E-2</v>
      </c>
    </row>
    <row r="27" spans="1:8" ht="15.75" customHeight="1" x14ac:dyDescent="0.25">
      <c r="B27" s="24" t="s">
        <v>39</v>
      </c>
      <c r="C27" s="76">
        <v>4.2999999999999997E-2</v>
      </c>
    </row>
    <row r="28" spans="1:8" ht="15.75" customHeight="1" x14ac:dyDescent="0.25">
      <c r="B28" s="24" t="s">
        <v>40</v>
      </c>
      <c r="C28" s="76">
        <v>0.19640000000000002</v>
      </c>
    </row>
    <row r="29" spans="1:8" ht="15.75" customHeight="1" x14ac:dyDescent="0.25">
      <c r="B29" s="24" t="s">
        <v>41</v>
      </c>
      <c r="C29" s="76">
        <v>0.2069</v>
      </c>
    </row>
    <row r="30" spans="1:8" ht="15.75" customHeight="1" x14ac:dyDescent="0.25">
      <c r="B30" s="24" t="s">
        <v>42</v>
      </c>
      <c r="C30" s="76">
        <v>2.7699999999999999E-2</v>
      </c>
    </row>
    <row r="31" spans="1:8" ht="15.75" customHeight="1" x14ac:dyDescent="0.25">
      <c r="B31" s="24" t="s">
        <v>43</v>
      </c>
      <c r="C31" s="76">
        <v>0.2094</v>
      </c>
    </row>
    <row r="32" spans="1:8" ht="15.75" customHeight="1" x14ac:dyDescent="0.25">
      <c r="B32" s="24" t="s">
        <v>44</v>
      </c>
      <c r="C32" s="76">
        <v>1.2500000000000001E-2</v>
      </c>
    </row>
    <row r="33" spans="2:3" ht="15.75" customHeight="1" x14ac:dyDescent="0.25">
      <c r="B33" s="24" t="s">
        <v>45</v>
      </c>
      <c r="C33" s="76">
        <v>5.1500000000000004E-2</v>
      </c>
    </row>
    <row r="34" spans="2:3" ht="15.75" customHeight="1" x14ac:dyDescent="0.25">
      <c r="B34" s="24" t="s">
        <v>46</v>
      </c>
      <c r="C34" s="76">
        <v>0.15690000000223517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0.72288133097560969</v>
      </c>
      <c r="D2" s="77">
        <v>0.72288133097560969</v>
      </c>
      <c r="E2" s="77">
        <v>0.71928453139140269</v>
      </c>
      <c r="F2" s="77">
        <v>0.52974386635338344</v>
      </c>
      <c r="G2" s="77">
        <v>0.56614855133333331</v>
      </c>
    </row>
    <row r="3" spans="1:15" ht="15.75" customHeight="1" x14ac:dyDescent="0.25">
      <c r="A3" s="5"/>
      <c r="B3" s="11" t="s">
        <v>118</v>
      </c>
      <c r="C3" s="77">
        <v>0.17524395902439027</v>
      </c>
      <c r="D3" s="77">
        <v>0.17524395902439027</v>
      </c>
      <c r="E3" s="77">
        <v>0.15774653860859728</v>
      </c>
      <c r="F3" s="77">
        <v>0.26041614364661653</v>
      </c>
      <c r="G3" s="77">
        <v>0.2547170986666667</v>
      </c>
    </row>
    <row r="4" spans="1:15" ht="15.75" customHeight="1" x14ac:dyDescent="0.25">
      <c r="A4" s="5"/>
      <c r="B4" s="11" t="s">
        <v>116</v>
      </c>
      <c r="C4" s="78">
        <v>5.301643071428571E-2</v>
      </c>
      <c r="D4" s="78">
        <v>5.301643071428571E-2</v>
      </c>
      <c r="E4" s="78">
        <v>8.9046466551724157E-2</v>
      </c>
      <c r="F4" s="78">
        <v>0.14006689158808935</v>
      </c>
      <c r="G4" s="78">
        <v>0.11782450554493312</v>
      </c>
    </row>
    <row r="5" spans="1:15" ht="15.75" customHeight="1" x14ac:dyDescent="0.25">
      <c r="A5" s="5"/>
      <c r="B5" s="11" t="s">
        <v>119</v>
      </c>
      <c r="C5" s="78">
        <v>4.8858279285714283E-2</v>
      </c>
      <c r="D5" s="78">
        <v>4.8858279285714283E-2</v>
      </c>
      <c r="E5" s="78">
        <v>3.3922463448275861E-2</v>
      </c>
      <c r="F5" s="78">
        <v>6.9773098411910678E-2</v>
      </c>
      <c r="G5" s="78">
        <v>6.1309844455066924E-2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0.82982650404761904</v>
      </c>
      <c r="D8" s="77">
        <v>0.82982650404761904</v>
      </c>
      <c r="E8" s="77">
        <v>0.80486326676120956</v>
      </c>
      <c r="F8" s="77">
        <v>0.89053734235384607</v>
      </c>
      <c r="G8" s="77">
        <v>0.86476976286082474</v>
      </c>
    </row>
    <row r="9" spans="1:15" ht="15.75" customHeight="1" x14ac:dyDescent="0.25">
      <c r="B9" s="7" t="s">
        <v>121</v>
      </c>
      <c r="C9" s="77">
        <v>0.12070203695238096</v>
      </c>
      <c r="D9" s="77">
        <v>0.12070203695238096</v>
      </c>
      <c r="E9" s="77">
        <v>0.13186473423879042</v>
      </c>
      <c r="F9" s="77">
        <v>8.8350942646153841E-2</v>
      </c>
      <c r="G9" s="77">
        <v>0.10497205213917525</v>
      </c>
    </row>
    <row r="10" spans="1:15" ht="15.75" customHeight="1" x14ac:dyDescent="0.25">
      <c r="B10" s="7" t="s">
        <v>122</v>
      </c>
      <c r="C10" s="78">
        <v>3.1486323999999996E-2</v>
      </c>
      <c r="D10" s="78">
        <v>3.1486323999999996E-2</v>
      </c>
      <c r="E10" s="78">
        <v>3.2448938000000004E-2</v>
      </c>
      <c r="F10" s="78">
        <v>1.1271192000000001E-2</v>
      </c>
      <c r="G10" s="78">
        <v>2.0818794866666667E-2</v>
      </c>
    </row>
    <row r="11" spans="1:15" ht="15.75" customHeight="1" x14ac:dyDescent="0.25">
      <c r="B11" s="7" t="s">
        <v>123</v>
      </c>
      <c r="C11" s="78">
        <v>1.7985134999999999E-2</v>
      </c>
      <c r="D11" s="78">
        <v>1.7985134999999999E-2</v>
      </c>
      <c r="E11" s="78">
        <v>3.0823060999999999E-2</v>
      </c>
      <c r="F11" s="78">
        <v>9.8405230000000003E-3</v>
      </c>
      <c r="G11" s="78">
        <v>9.4393901333333346E-3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0.77009803950000011</v>
      </c>
      <c r="D14" s="79">
        <v>0.75845489217399997</v>
      </c>
      <c r="E14" s="79">
        <v>0.75845489217399997</v>
      </c>
      <c r="F14" s="79">
        <v>0.60551019102899994</v>
      </c>
      <c r="G14" s="79">
        <v>0.60551019102899994</v>
      </c>
      <c r="H14" s="80">
        <v>0.53799999999999992</v>
      </c>
      <c r="I14" s="80">
        <v>0.60461221122112219</v>
      </c>
      <c r="J14" s="80">
        <v>0.57319141914191429</v>
      </c>
      <c r="K14" s="80">
        <v>0.5570049504950495</v>
      </c>
      <c r="L14" s="80">
        <v>0.48716572835799998</v>
      </c>
      <c r="M14" s="80">
        <v>0.37215691352199998</v>
      </c>
      <c r="N14" s="80">
        <v>0.35771765578850001</v>
      </c>
      <c r="O14" s="80">
        <v>0.46151397594999999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0.2665572847110742</v>
      </c>
      <c r="D15" s="77">
        <f t="shared" si="0"/>
        <v>0.26252719298570815</v>
      </c>
      <c r="E15" s="77">
        <f t="shared" si="0"/>
        <v>0.26252719298570815</v>
      </c>
      <c r="F15" s="77">
        <f t="shared" si="0"/>
        <v>0.20958779805538522</v>
      </c>
      <c r="G15" s="77">
        <f t="shared" si="0"/>
        <v>0.20958779805538522</v>
      </c>
      <c r="H15" s="77">
        <f t="shared" si="0"/>
        <v>0.18622021069897543</v>
      </c>
      <c r="I15" s="77">
        <f t="shared" si="0"/>
        <v>0.20927697651444391</v>
      </c>
      <c r="J15" s="77">
        <f t="shared" si="0"/>
        <v>0.19840116513652792</v>
      </c>
      <c r="K15" s="77">
        <f t="shared" si="0"/>
        <v>0.1927984744266924</v>
      </c>
      <c r="L15" s="77">
        <f t="shared" si="0"/>
        <v>0.1686247297028747</v>
      </c>
      <c r="M15" s="77">
        <f t="shared" si="0"/>
        <v>0.12881624321402829</v>
      </c>
      <c r="N15" s="77">
        <f t="shared" si="0"/>
        <v>0.12381832199196663</v>
      </c>
      <c r="O15" s="77">
        <f t="shared" si="0"/>
        <v>0.15974578037533621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0.06</v>
      </c>
      <c r="D2" s="78">
        <v>0.06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0.245</v>
      </c>
      <c r="D3" s="78">
        <v>0.17899999999999999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0.156</v>
      </c>
      <c r="D4" s="78">
        <v>0.156</v>
      </c>
      <c r="E4" s="78">
        <v>0.21600000000000003</v>
      </c>
      <c r="F4" s="78">
        <v>0.58250000000000002</v>
      </c>
      <c r="G4" s="78">
        <v>0</v>
      </c>
    </row>
    <row r="5" spans="1:7" x14ac:dyDescent="0.25">
      <c r="B5" s="43" t="s">
        <v>169</v>
      </c>
      <c r="C5" s="77">
        <f>1-SUM(C2:C4)</f>
        <v>0.53900000000000003</v>
      </c>
      <c r="D5" s="77">
        <f t="shared" ref="D5:G5" si="0">1-SUM(D2:D4)</f>
        <v>0.60499999999999998</v>
      </c>
      <c r="E5" s="77">
        <f t="shared" si="0"/>
        <v>0.78400000000000003</v>
      </c>
      <c r="F5" s="77">
        <f t="shared" si="0"/>
        <v>0.41749999999999998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tabSelected="1" zoomScale="115" zoomScaleNormal="115" workbookViewId="0">
      <selection activeCell="C13" sqref="C13:C14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3" x14ac:dyDescent="0.25">
      <c r="A2" t="s">
        <v>139</v>
      </c>
      <c r="B2" s="14" t="s">
        <v>143</v>
      </c>
      <c r="C2" s="28">
        <v>0.17881</v>
      </c>
      <c r="D2" s="28">
        <v>0.1739</v>
      </c>
      <c r="E2" s="28">
        <v>0.16925000000000001</v>
      </c>
      <c r="F2" s="28">
        <v>0.16472000000000001</v>
      </c>
      <c r="G2" s="28">
        <v>0.16031999999999999</v>
      </c>
      <c r="H2" s="28">
        <v>0.15603999999999998</v>
      </c>
      <c r="I2" s="28">
        <v>0.15188000000000001</v>
      </c>
      <c r="J2" s="28">
        <v>0.14784</v>
      </c>
      <c r="K2" s="28">
        <v>0.14391999999999999</v>
      </c>
      <c r="L2">
        <v>0.14011999999999999</v>
      </c>
      <c r="M2">
        <v>0.13643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2.5000000000000001E-2</v>
      </c>
      <c r="D4" s="28">
        <v>2.4820000000000002E-2</v>
      </c>
      <c r="E4" s="28">
        <v>2.4620000000000003E-2</v>
      </c>
      <c r="F4" s="28">
        <v>2.4420000000000001E-2</v>
      </c>
      <c r="G4" s="28">
        <v>2.4239999999999998E-2</v>
      </c>
      <c r="H4" s="28">
        <v>2.4060000000000002E-2</v>
      </c>
      <c r="I4" s="28">
        <v>2.3889999999999998E-2</v>
      </c>
      <c r="J4" s="28">
        <v>2.3730000000000001E-2</v>
      </c>
      <c r="K4" s="28">
        <v>2.3570000000000001E-2</v>
      </c>
      <c r="L4">
        <v>2.342E-2</v>
      </c>
      <c r="M4">
        <v>2.3279999999999999E-2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>
        <f>'Nutritional status distribution'!E14</f>
        <v>0.75845489217399997</v>
      </c>
      <c r="D6" s="28"/>
      <c r="E6" s="28"/>
      <c r="F6" s="28"/>
      <c r="G6" s="28"/>
      <c r="H6" s="28"/>
      <c r="I6" s="28"/>
      <c r="J6" s="28"/>
      <c r="K6" s="28"/>
    </row>
    <row r="7" spans="1:13" x14ac:dyDescent="0.25">
      <c r="B7" s="14" t="s">
        <v>32</v>
      </c>
      <c r="C7" s="28">
        <f>'Nutritional status distribution'!H14</f>
        <v>0.53799999999999992</v>
      </c>
      <c r="D7" s="28"/>
      <c r="E7" s="28"/>
      <c r="F7" s="28"/>
      <c r="G7" s="28"/>
      <c r="H7" s="28"/>
      <c r="I7" s="28"/>
      <c r="J7" s="28"/>
      <c r="K7" s="28"/>
    </row>
    <row r="8" spans="1:13" x14ac:dyDescent="0.25">
      <c r="B8" s="14" t="s">
        <v>144</v>
      </c>
      <c r="C8" s="28">
        <f>'Nutritional status distribution'!L14</f>
        <v>0.48716572835799998</v>
      </c>
      <c r="D8" s="28"/>
      <c r="E8" s="28"/>
      <c r="F8" s="28"/>
      <c r="G8" s="28"/>
      <c r="H8" s="28"/>
      <c r="I8" s="28"/>
      <c r="J8" s="28"/>
      <c r="K8" s="28"/>
    </row>
    <row r="10" spans="1:13" x14ac:dyDescent="0.25">
      <c r="A10" t="s">
        <v>142</v>
      </c>
      <c r="B10" s="16" t="s">
        <v>147</v>
      </c>
      <c r="C10" s="28">
        <f>SUM('Breastfeeding distribution'!D2)</f>
        <v>0.06</v>
      </c>
      <c r="D10" s="28"/>
      <c r="E10" s="28"/>
      <c r="F10" s="28"/>
      <c r="G10" s="28"/>
      <c r="H10" s="28"/>
      <c r="I10" s="28"/>
      <c r="J10" s="28"/>
      <c r="K10" s="28"/>
    </row>
    <row r="11" spans="1:13" x14ac:dyDescent="0.25">
      <c r="B11" s="34" t="s">
        <v>146</v>
      </c>
      <c r="C11" s="28">
        <f>'Breastfeeding distribution'!F4</f>
        <v>0.58250000000000002</v>
      </c>
      <c r="D11" s="28"/>
      <c r="E11" s="28"/>
      <c r="F11" s="28"/>
      <c r="G11" s="28"/>
      <c r="H11" s="28"/>
      <c r="I11" s="28"/>
      <c r="J11" s="28"/>
      <c r="K11" s="28"/>
    </row>
    <row r="13" spans="1:13" x14ac:dyDescent="0.25">
      <c r="A13" s="12" t="s">
        <v>74</v>
      </c>
      <c r="B13" s="34" t="s">
        <v>148</v>
      </c>
      <c r="C13" s="145">
        <v>32.677999999999997</v>
      </c>
      <c r="D13" s="28">
        <v>31.911999999999999</v>
      </c>
      <c r="E13" s="28">
        <v>31.193000000000001</v>
      </c>
      <c r="F13" s="28">
        <v>30.506</v>
      </c>
      <c r="G13" s="28">
        <v>29.856000000000002</v>
      </c>
      <c r="H13" s="28">
        <v>29.216000000000001</v>
      </c>
      <c r="I13" s="28">
        <v>28.616</v>
      </c>
      <c r="J13" s="28">
        <v>27.315999999999999</v>
      </c>
      <c r="K13" s="28">
        <v>26.693999999999999</v>
      </c>
      <c r="L13">
        <v>26.114999999999998</v>
      </c>
      <c r="M13">
        <v>25.588000000000001</v>
      </c>
    </row>
    <row r="14" spans="1:13" x14ac:dyDescent="0.25">
      <c r="B14" s="16" t="s">
        <v>170</v>
      </c>
      <c r="C14" s="145">
        <f>maternal_mortality</f>
        <v>2.91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1" sqref="D10:D1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 t="s">
        <v>216</v>
      </c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4" zoomScale="106" workbookViewId="0">
      <selection activeCell="D37" sqref="D37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77.390193053910821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40.314078775655155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717.93406611531384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1.8412357265269286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1.9135444901370438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1.9135444901370438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1.9135444901370438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1.9135444901370438</v>
      </c>
      <c r="E13" s="86" t="s">
        <v>201</v>
      </c>
    </row>
    <row r="14" spans="1:5" ht="15.75" customHeight="1" x14ac:dyDescent="0.25">
      <c r="A14" s="11" t="s">
        <v>189</v>
      </c>
      <c r="B14" s="85">
        <v>0.56799999999999995</v>
      </c>
      <c r="C14" s="85">
        <v>0.95</v>
      </c>
      <c r="D14" s="86">
        <v>13.446378219451061</v>
      </c>
      <c r="E14" s="86" t="s">
        <v>201</v>
      </c>
    </row>
    <row r="15" spans="1:5" ht="15.75" customHeight="1" x14ac:dyDescent="0.25">
      <c r="A15" s="11" t="s">
        <v>206</v>
      </c>
      <c r="B15" s="85">
        <v>0.56799999999999995</v>
      </c>
      <c r="C15" s="85">
        <v>0.95</v>
      </c>
      <c r="D15" s="86">
        <v>13.446378219451061</v>
      </c>
      <c r="E15" s="86" t="s">
        <v>201</v>
      </c>
    </row>
    <row r="16" spans="1:5" ht="15.75" customHeight="1" x14ac:dyDescent="0.25">
      <c r="A16" s="53" t="s">
        <v>57</v>
      </c>
      <c r="B16" s="85">
        <v>0.13100000000000001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1.1530314605155485</v>
      </c>
      <c r="E17" s="86" t="s">
        <v>201</v>
      </c>
    </row>
    <row r="18" spans="1:5" ht="15.75" customHeight="1" x14ac:dyDescent="0.25">
      <c r="A18" s="53" t="s">
        <v>175</v>
      </c>
      <c r="B18" s="85">
        <v>0.29899999999999999</v>
      </c>
      <c r="C18" s="85">
        <v>0.95</v>
      </c>
      <c r="D18" s="86">
        <v>16.459595752364979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15.053841697970233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23.431813824225639</v>
      </c>
      <c r="E22" s="86" t="s">
        <v>201</v>
      </c>
    </row>
    <row r="23" spans="1:5" ht="15.75" customHeight="1" x14ac:dyDescent="0.25">
      <c r="A23" s="53" t="s">
        <v>34</v>
      </c>
      <c r="B23" s="85">
        <v>0.38900000000000001</v>
      </c>
      <c r="C23" s="85">
        <v>0.95</v>
      </c>
      <c r="D23" s="86">
        <v>4.5507118970106513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19.019954364099398</v>
      </c>
      <c r="E24" s="86" t="s">
        <v>201</v>
      </c>
    </row>
    <row r="25" spans="1:5" ht="15.75" customHeight="1" x14ac:dyDescent="0.25">
      <c r="A25" s="53" t="s">
        <v>87</v>
      </c>
      <c r="B25" s="85">
        <v>0.57799999999999996</v>
      </c>
      <c r="C25" s="85">
        <v>0.95</v>
      </c>
      <c r="D25" s="86">
        <v>19.011388008388405</v>
      </c>
      <c r="E25" s="86" t="s">
        <v>201</v>
      </c>
    </row>
    <row r="26" spans="1:5" ht="15.75" customHeight="1" x14ac:dyDescent="0.25">
      <c r="A26" s="53" t="s">
        <v>137</v>
      </c>
      <c r="B26" s="85">
        <v>0.56799999999999995</v>
      </c>
      <c r="C26" s="85">
        <v>0.95</v>
      </c>
      <c r="D26" s="86">
        <v>6.1959304485475508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10.257725119891068</v>
      </c>
      <c r="E27" s="86" t="s">
        <v>201</v>
      </c>
    </row>
    <row r="28" spans="1:5" ht="15.75" customHeight="1" x14ac:dyDescent="0.25">
      <c r="A28" s="53" t="s">
        <v>84</v>
      </c>
      <c r="B28" s="85">
        <v>0.26100000000000001</v>
      </c>
      <c r="C28" s="85">
        <v>0.95</v>
      </c>
      <c r="D28" s="86">
        <v>1.1484419062393552</v>
      </c>
      <c r="E28" s="86" t="s">
        <v>201</v>
      </c>
    </row>
    <row r="29" spans="1:5" ht="15.75" customHeight="1" x14ac:dyDescent="0.25">
      <c r="A29" s="53" t="s">
        <v>58</v>
      </c>
      <c r="B29" s="85">
        <v>0.29899999999999999</v>
      </c>
      <c r="C29" s="85">
        <v>0.95</v>
      </c>
      <c r="D29" s="86">
        <v>157.83610683338628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193.9489448771987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193.9489448771987</v>
      </c>
      <c r="E31" s="86" t="s">
        <v>201</v>
      </c>
    </row>
    <row r="32" spans="1:5" ht="15.75" customHeight="1" x14ac:dyDescent="0.25">
      <c r="A32" s="53" t="s">
        <v>28</v>
      </c>
      <c r="B32" s="85">
        <v>0.21600000000000003</v>
      </c>
      <c r="C32" s="85">
        <v>0.95</v>
      </c>
      <c r="D32" s="86">
        <v>2.5205892106452601</v>
      </c>
      <c r="E32" s="86" t="s">
        <v>201</v>
      </c>
    </row>
    <row r="33" spans="1:6" ht="15.75" customHeight="1" x14ac:dyDescent="0.25">
      <c r="A33" s="53" t="s">
        <v>83</v>
      </c>
      <c r="B33" s="85">
        <v>0.17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0.41899999999999998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0.93200000000000005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0.64500000000000002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2.2722055494701268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2.5417541936550143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2020-06-17T05:07:57Z</dcterms:modified>
</cp:coreProperties>
</file>