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E6D1B64-AC61-45AC-945E-2650A883631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<sst xmlns="http://schemas.openxmlformats.org/spreadsheetml/2006/main" count="2093" uniqueCount="337">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</sst>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124881.833984375</v>
      </c>
    </row>
    <row r="8" spans="1:3" ht="15" customHeight="1" x14ac:dyDescent="0.25">
      <c r="B8" s="69" t="s">
        <v>8</v>
      </c>
      <c r="C8" s="32">
        <v>0.17899999999999999</v>
      </c>
    </row>
    <row r="9" spans="1:3" ht="15" customHeight="1" x14ac:dyDescent="0.25">
      <c r="B9" s="69" t="s">
        <v>9</v>
      </c>
      <c r="C9" s="33">
        <v>0.5</v>
      </c>
    </row>
    <row r="10" spans="1:3" ht="15" customHeight="1" x14ac:dyDescent="0.25">
      <c r="B10" s="69" t="s">
        <v>10</v>
      </c>
      <c r="C10" s="33">
        <v>0.44813041687011701</v>
      </c>
    </row>
    <row r="11" spans="1:3" ht="15" customHeight="1" x14ac:dyDescent="0.25">
      <c r="B11" s="69" t="s">
        <v>11</v>
      </c>
      <c r="C11" s="32">
        <v>0.48899999999999999</v>
      </c>
    </row>
    <row r="12" spans="1:3" ht="15" customHeight="1" x14ac:dyDescent="0.25">
      <c r="B12" s="69" t="s">
        <v>12</v>
      </c>
      <c r="C12" s="32">
        <v>0.38100000000000001</v>
      </c>
    </row>
    <row r="13" spans="1:3" ht="15" customHeight="1" x14ac:dyDescent="0.25">
      <c r="B13" s="69" t="s">
        <v>13</v>
      </c>
      <c r="C13" s="32">
        <v>0.72199999999999998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8.2599999999999993E-2</v>
      </c>
    </row>
    <row r="24" spans="1:3" ht="15" customHeight="1" x14ac:dyDescent="0.25">
      <c r="B24" s="7" t="s">
        <v>22</v>
      </c>
      <c r="C24" s="33">
        <v>0.42909999999999998</v>
      </c>
    </row>
    <row r="25" spans="1:3" ht="15" customHeight="1" x14ac:dyDescent="0.25">
      <c r="B25" s="7" t="s">
        <v>23</v>
      </c>
      <c r="C25" s="33">
        <v>0.38800000000000001</v>
      </c>
    </row>
    <row r="26" spans="1:3" ht="15" customHeight="1" x14ac:dyDescent="0.25">
      <c r="B26" s="7" t="s">
        <v>24</v>
      </c>
      <c r="C26" s="33">
        <v>0.1003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0.22550533799323499</v>
      </c>
    </row>
    <row r="30" spans="1:3" ht="14.25" customHeight="1" x14ac:dyDescent="0.25">
      <c r="B30" s="15" t="s">
        <v>27</v>
      </c>
      <c r="C30" s="42">
        <v>9.9346175527019603E-2</v>
      </c>
    </row>
    <row r="31" spans="1:3" ht="14.25" customHeight="1" x14ac:dyDescent="0.25">
      <c r="B31" s="15" t="s">
        <v>28</v>
      </c>
      <c r="C31" s="42">
        <v>0.131206784596064</v>
      </c>
    </row>
    <row r="32" spans="1:3" ht="14.25" customHeight="1" x14ac:dyDescent="0.25">
      <c r="B32" s="15" t="s">
        <v>29</v>
      </c>
      <c r="C32" s="42">
        <v>0.54394170188368196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29.820716260078701</v>
      </c>
    </row>
    <row r="38" spans="1:5" ht="15" customHeight="1" x14ac:dyDescent="0.25">
      <c r="B38" s="65" t="s">
        <v>34</v>
      </c>
      <c r="C38" s="94">
        <v>48.280046118445597</v>
      </c>
      <c r="D38" s="5"/>
      <c r="E38" s="6"/>
    </row>
    <row r="39" spans="1:5" ht="15" customHeight="1" x14ac:dyDescent="0.25">
      <c r="B39" s="65" t="s">
        <v>35</v>
      </c>
      <c r="C39" s="94">
        <v>62.892555854424401</v>
      </c>
      <c r="D39" s="5"/>
      <c r="E39" s="5"/>
    </row>
    <row r="40" spans="1:5" ht="15" customHeight="1" x14ac:dyDescent="0.25">
      <c r="B40" s="65" t="s">
        <v>36</v>
      </c>
      <c r="C40" s="94">
        <v>2.73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24.571040719999999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2.67633E-2</v>
      </c>
      <c r="D45" s="5"/>
    </row>
    <row r="46" spans="1:5" ht="15.75" customHeight="1" x14ac:dyDescent="0.25">
      <c r="B46" s="65" t="s">
        <v>41</v>
      </c>
      <c r="C46" s="33">
        <v>0.13998530000000001</v>
      </c>
      <c r="D46" s="5"/>
    </row>
    <row r="47" spans="1:5" ht="15.75" customHeight="1" x14ac:dyDescent="0.25">
      <c r="B47" s="65" t="s">
        <v>42</v>
      </c>
      <c r="C47" s="33">
        <v>0.34937170000000001</v>
      </c>
      <c r="D47" s="5"/>
      <c r="E47" s="6"/>
    </row>
    <row r="48" spans="1:5" ht="15" customHeight="1" x14ac:dyDescent="0.25">
      <c r="B48" s="65" t="s">
        <v>43</v>
      </c>
      <c r="C48" s="97">
        <v>0.48387970000000002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0.50987099999999996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0.23696138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0.38169743624234898</v>
      </c>
      <c r="C2" s="43">
        <v>0.95</v>
      </c>
      <c r="D2" s="86">
        <v>36.540660925828377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47.401530614166028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77.508008463184325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0.42239370577386598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0.118279250637496</v>
      </c>
      <c r="C10" s="43">
        <v>0.95</v>
      </c>
      <c r="D10" s="86">
        <v>15.06077994466111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0.118279250637496</v>
      </c>
      <c r="C11" s="43">
        <v>0.95</v>
      </c>
      <c r="D11" s="86">
        <v>15.06077994466111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0.118279250637496</v>
      </c>
      <c r="C12" s="43">
        <v>0.95</v>
      </c>
      <c r="D12" s="86">
        <v>15.06077994466111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0.118279250637496</v>
      </c>
      <c r="C13" s="43">
        <v>0.95</v>
      </c>
      <c r="D13" s="86">
        <v>15.06077994466111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0.118279250637496</v>
      </c>
      <c r="C14" s="43">
        <v>0.95</v>
      </c>
      <c r="D14" s="86">
        <v>15.06077994466111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0.118279250637496</v>
      </c>
      <c r="C15" s="43">
        <v>0.95</v>
      </c>
      <c r="D15" s="86">
        <v>15.06077994466111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0.26336840749810442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0.44761000000000001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0.11</v>
      </c>
      <c r="C18" s="43">
        <v>0.95</v>
      </c>
      <c r="D18" s="86">
        <v>1.888235787121497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1.888235787121497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0.76142140000000003</v>
      </c>
      <c r="C21" s="43">
        <v>0.95</v>
      </c>
      <c r="D21" s="86">
        <v>2.9482071390190878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25.674441615856921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4.9386229663401986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0.19247134007059999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9.2250427438804503E-2</v>
      </c>
      <c r="C27" s="43">
        <v>0.95</v>
      </c>
      <c r="D27" s="86">
        <v>21.771690430316362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0.35856624116232799</v>
      </c>
      <c r="C29" s="43">
        <v>0.95</v>
      </c>
      <c r="D29" s="86">
        <v>64.60318420710658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1.490832642559617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0.50363021046247736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0.60416091920000004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0.6058673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3.894193E-2</v>
      </c>
      <c r="C38" s="43">
        <v>0.95</v>
      </c>
      <c r="D38" s="86">
        <v>4.52511708702849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0.59407263613198702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0.21638733595609677</v>
      </c>
      <c r="C3" s="13">
        <f>frac_mam_1_5months * 2.6</f>
        <v>0.21638733595609677</v>
      </c>
      <c r="D3" s="13">
        <f>frac_mam_6_11months * 2.6</f>
        <v>0.33033131062984517</v>
      </c>
      <c r="E3" s="13">
        <f>frac_mam_12_23months * 2.6</f>
        <v>0.22335972338914886</v>
      </c>
      <c r="F3" s="13">
        <f>frac_mam_24_59months * 2.6</f>
        <v>0.12652350366115564</v>
      </c>
    </row>
    <row r="4" spans="1:6" ht="15.75" customHeight="1" x14ac:dyDescent="0.25">
      <c r="A4" s="78" t="s">
        <v>204</v>
      </c>
      <c r="B4" s="13">
        <f>frac_sam_1month * 2.6</f>
        <v>0.25582495927810667</v>
      </c>
      <c r="C4" s="13">
        <f>frac_sam_1_5months * 2.6</f>
        <v>0.25582495927810667</v>
      </c>
      <c r="D4" s="13">
        <f>frac_sam_6_11months * 2.6</f>
        <v>0.1515678822994232</v>
      </c>
      <c r="E4" s="13">
        <f>frac_sam_12_23months * 2.6</f>
        <v>9.8114255070686399E-2</v>
      </c>
      <c r="F4" s="13">
        <f>frac_sam_24_59months * 2.6</f>
        <v>9.182800650596612E-2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0.17899999999999999</v>
      </c>
      <c r="E2" s="47">
        <f>food_insecure</f>
        <v>0.17899999999999999</v>
      </c>
      <c r="F2" s="47">
        <f>food_insecure</f>
        <v>0.17899999999999999</v>
      </c>
      <c r="G2" s="47">
        <f>food_insecure</f>
        <v>0.17899999999999999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0.17899999999999999</v>
      </c>
      <c r="F5" s="47">
        <f>food_insecure</f>
        <v>0.17899999999999999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0.17899999999999999</v>
      </c>
      <c r="F8" s="47">
        <f>food_insecure</f>
        <v>0.17899999999999999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0.17899999999999999</v>
      </c>
      <c r="F9" s="47">
        <f>food_insecure</f>
        <v>0.17899999999999999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0.38100000000000001</v>
      </c>
      <c r="E10" s="47">
        <f>IF(ISBLANK(comm_deliv), frac_children_health_facility,1)</f>
        <v>0.38100000000000001</v>
      </c>
      <c r="F10" s="47">
        <f>IF(ISBLANK(comm_deliv), frac_children_health_facility,1)</f>
        <v>0.38100000000000001</v>
      </c>
      <c r="G10" s="47">
        <f>IF(ISBLANK(comm_deliv), frac_children_health_facility,1)</f>
        <v>0.38100000000000001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0.17899999999999999</v>
      </c>
      <c r="I15" s="47">
        <f>food_insecure</f>
        <v>0.17899999999999999</v>
      </c>
      <c r="J15" s="47">
        <f>food_insecure</f>
        <v>0.17899999999999999</v>
      </c>
      <c r="K15" s="47">
        <f>food_insecure</f>
        <v>0.17899999999999999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0.48899999999999999</v>
      </c>
      <c r="I18" s="47">
        <f>frac_PW_health_facility</f>
        <v>0.48899999999999999</v>
      </c>
      <c r="J18" s="47">
        <f>frac_PW_health_facility</f>
        <v>0.48899999999999999</v>
      </c>
      <c r="K18" s="47">
        <f>frac_PW_health_facility</f>
        <v>0.48899999999999999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0.5</v>
      </c>
      <c r="I19" s="47">
        <f>frac_malaria_risk</f>
        <v>0.5</v>
      </c>
      <c r="J19" s="47">
        <f>frac_malaria_risk</f>
        <v>0.5</v>
      </c>
      <c r="K19" s="47">
        <f>frac_malaria_risk</f>
        <v>0.5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0.72199999999999998</v>
      </c>
      <c r="M24" s="47">
        <f>famplan_unmet_need</f>
        <v>0.72199999999999998</v>
      </c>
      <c r="N24" s="47">
        <f>famplan_unmet_need</f>
        <v>0.72199999999999998</v>
      </c>
      <c r="O24" s="47">
        <f>famplan_unmet_need</f>
        <v>0.72199999999999998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0.29116087336349494</v>
      </c>
      <c r="M25" s="47">
        <f>(1-food_insecure)*(0.49)+food_insecure*(0.7)</f>
        <v>0.52759</v>
      </c>
      <c r="N25" s="47">
        <f>(1-food_insecure)*(0.49)+food_insecure*(0.7)</f>
        <v>0.52759</v>
      </c>
      <c r="O25" s="47">
        <f>(1-food_insecure)*(0.49)+food_insecure*(0.7)</f>
        <v>0.52759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0.12478323144149783</v>
      </c>
      <c r="M26" s="47">
        <f>(1-food_insecure)*(0.21)+food_insecure*(0.3)</f>
        <v>0.22610999999999998</v>
      </c>
      <c r="N26" s="47">
        <f>(1-food_insecure)*(0.21)+food_insecure*(0.3)</f>
        <v>0.22610999999999998</v>
      </c>
      <c r="O26" s="47">
        <f>(1-food_insecure)*(0.21)+food_insecure*(0.3)</f>
        <v>0.22610999999999998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0.13592547832489016</v>
      </c>
      <c r="M27" s="47">
        <f>(1-food_insecure)*(0.3)</f>
        <v>0.24629999999999996</v>
      </c>
      <c r="N27" s="47">
        <f>(1-food_insecure)*(0.3)</f>
        <v>0.24629999999999996</v>
      </c>
      <c r="O27" s="47">
        <f>(1-food_insecure)*(0.3)</f>
        <v>0.24629999999999996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0.44813041687011701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0.5</v>
      </c>
      <c r="D34" s="47">
        <f t="shared" si="3"/>
        <v>0.5</v>
      </c>
      <c r="E34" s="47">
        <f t="shared" si="3"/>
        <v>0.5</v>
      </c>
      <c r="F34" s="47">
        <f t="shared" si="3"/>
        <v>0.5</v>
      </c>
      <c r="G34" s="47">
        <f t="shared" si="3"/>
        <v>0.5</v>
      </c>
      <c r="H34" s="47">
        <f t="shared" si="3"/>
        <v>0.5</v>
      </c>
      <c r="I34" s="47">
        <f t="shared" si="3"/>
        <v>0.5</v>
      </c>
      <c r="J34" s="47">
        <f t="shared" si="3"/>
        <v>0.5</v>
      </c>
      <c r="K34" s="47">
        <f t="shared" si="3"/>
        <v>0.5</v>
      </c>
      <c r="L34" s="47">
        <f t="shared" si="3"/>
        <v>0.5</v>
      </c>
      <c r="M34" s="47">
        <f t="shared" si="3"/>
        <v>0.5</v>
      </c>
      <c r="N34" s="47">
        <f t="shared" si="3"/>
        <v>0.5</v>
      </c>
      <c r="O34" s="47">
        <f t="shared" si="3"/>
        <v>0.5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27074.9424</v>
      </c>
      <c r="C2" s="37">
        <v>45000</v>
      </c>
      <c r="D2" s="37">
        <v>76000</v>
      </c>
      <c r="E2" s="37">
        <v>60000</v>
      </c>
      <c r="F2" s="37">
        <v>40000</v>
      </c>
      <c r="G2" s="9">
        <f t="shared" ref="G2:G40" si="0">C2+D2+E2+F2</f>
        <v>221000</v>
      </c>
      <c r="H2" s="9">
        <f t="shared" ref="H2:H40" si="1">(B2 + stillbirth*B2/(1000-stillbirth))/(1-abortion)</f>
        <v>31541.999760505612</v>
      </c>
      <c r="I2" s="9">
        <f t="shared" ref="I2:I40" si="2">G2-H2</f>
        <v>189458.00023949437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27267.6852</v>
      </c>
      <c r="C3" s="37">
        <v>46000</v>
      </c>
      <c r="D3" s="37">
        <v>77000</v>
      </c>
      <c r="E3" s="37">
        <v>61000</v>
      </c>
      <c r="F3" s="37">
        <v>41000</v>
      </c>
      <c r="G3" s="9">
        <f t="shared" si="0"/>
        <v>225000</v>
      </c>
      <c r="H3" s="9">
        <f t="shared" si="1"/>
        <v>31766.542928931307</v>
      </c>
      <c r="I3" s="9">
        <f t="shared" si="2"/>
        <v>193233.4570710687</v>
      </c>
    </row>
    <row r="4" spans="1:9" ht="15.75" customHeight="1" x14ac:dyDescent="0.25">
      <c r="A4" s="69">
        <f t="shared" si="3"/>
        <v>2023</v>
      </c>
      <c r="B4" s="36">
        <v>27444.23239999999</v>
      </c>
      <c r="C4" s="37">
        <v>47000</v>
      </c>
      <c r="D4" s="37">
        <v>78000</v>
      </c>
      <c r="E4" s="37">
        <v>62000</v>
      </c>
      <c r="F4" s="37">
        <v>43000</v>
      </c>
      <c r="G4" s="9">
        <f t="shared" si="0"/>
        <v>230000</v>
      </c>
      <c r="H4" s="9">
        <f t="shared" si="1"/>
        <v>31972.218407676468</v>
      </c>
      <c r="I4" s="9">
        <f t="shared" si="2"/>
        <v>198027.78159232353</v>
      </c>
    </row>
    <row r="5" spans="1:9" ht="15.75" customHeight="1" x14ac:dyDescent="0.25">
      <c r="A5" s="69">
        <f t="shared" si="3"/>
        <v>2024</v>
      </c>
      <c r="B5" s="36">
        <v>27604.583999999999</v>
      </c>
      <c r="C5" s="37">
        <v>48000</v>
      </c>
      <c r="D5" s="37">
        <v>80000</v>
      </c>
      <c r="E5" s="37">
        <v>64000</v>
      </c>
      <c r="F5" s="37">
        <v>45000</v>
      </c>
      <c r="G5" s="9">
        <f t="shared" si="0"/>
        <v>237000</v>
      </c>
      <c r="H5" s="9">
        <f t="shared" si="1"/>
        <v>32159.026196741128</v>
      </c>
      <c r="I5" s="9">
        <f t="shared" si="2"/>
        <v>204840.97380325888</v>
      </c>
    </row>
    <row r="6" spans="1:9" ht="15.75" customHeight="1" x14ac:dyDescent="0.25">
      <c r="A6" s="69">
        <f t="shared" si="3"/>
        <v>2025</v>
      </c>
      <c r="B6" s="36">
        <v>27777.525000000001</v>
      </c>
      <c r="C6" s="37">
        <v>49000</v>
      </c>
      <c r="D6" s="37">
        <v>81000</v>
      </c>
      <c r="E6" s="37">
        <v>65000</v>
      </c>
      <c r="F6" s="37">
        <v>46000</v>
      </c>
      <c r="G6" s="9">
        <f t="shared" si="0"/>
        <v>241000</v>
      </c>
      <c r="H6" s="9">
        <f t="shared" si="1"/>
        <v>32360.50049352787</v>
      </c>
      <c r="I6" s="9">
        <f t="shared" si="2"/>
        <v>208639.49950647214</v>
      </c>
    </row>
    <row r="7" spans="1:9" ht="15.75" customHeight="1" x14ac:dyDescent="0.25">
      <c r="A7" s="69">
        <f t="shared" si="3"/>
        <v>2026</v>
      </c>
      <c r="B7" s="36">
        <v>27984.5664</v>
      </c>
      <c r="C7" s="37">
        <v>50000</v>
      </c>
      <c r="D7" s="37">
        <v>83000</v>
      </c>
      <c r="E7" s="37">
        <v>66000</v>
      </c>
      <c r="F7" s="37">
        <v>48000</v>
      </c>
      <c r="G7" s="9">
        <f t="shared" si="0"/>
        <v>247000</v>
      </c>
      <c r="H7" s="9">
        <f t="shared" si="1"/>
        <v>32601.701368223534</v>
      </c>
      <c r="I7" s="9">
        <f t="shared" si="2"/>
        <v>214398.29863177647</v>
      </c>
    </row>
    <row r="8" spans="1:9" ht="15.75" customHeight="1" x14ac:dyDescent="0.25">
      <c r="A8" s="69">
        <f t="shared" si="3"/>
        <v>2027</v>
      </c>
      <c r="B8" s="36">
        <v>28178.482599999999</v>
      </c>
      <c r="C8" s="37">
        <v>51000</v>
      </c>
      <c r="D8" s="37">
        <v>85000</v>
      </c>
      <c r="E8" s="37">
        <v>68000</v>
      </c>
      <c r="F8" s="37">
        <v>50000</v>
      </c>
      <c r="G8" s="9">
        <f t="shared" si="0"/>
        <v>254000</v>
      </c>
      <c r="H8" s="9">
        <f t="shared" si="1"/>
        <v>32827.611534294956</v>
      </c>
      <c r="I8" s="9">
        <f t="shared" si="2"/>
        <v>221172.38846570504</v>
      </c>
    </row>
    <row r="9" spans="1:9" ht="15.75" customHeight="1" x14ac:dyDescent="0.25">
      <c r="A9" s="69">
        <f t="shared" si="3"/>
        <v>2028</v>
      </c>
      <c r="B9" s="36">
        <v>28387.022399999991</v>
      </c>
      <c r="C9" s="37">
        <v>52000</v>
      </c>
      <c r="D9" s="37">
        <v>87000</v>
      </c>
      <c r="E9" s="37">
        <v>68000</v>
      </c>
      <c r="F9" s="37">
        <v>51000</v>
      </c>
      <c r="G9" s="9">
        <f t="shared" si="0"/>
        <v>258000</v>
      </c>
      <c r="H9" s="9">
        <f t="shared" si="1"/>
        <v>33070.558027937564</v>
      </c>
      <c r="I9" s="9">
        <f t="shared" si="2"/>
        <v>224929.44197206243</v>
      </c>
    </row>
    <row r="10" spans="1:9" ht="15.75" customHeight="1" x14ac:dyDescent="0.25">
      <c r="A10" s="69">
        <f t="shared" si="3"/>
        <v>2029</v>
      </c>
      <c r="B10" s="36">
        <v>28554.342799999991</v>
      </c>
      <c r="C10" s="37">
        <v>53000</v>
      </c>
      <c r="D10" s="37">
        <v>89000</v>
      </c>
      <c r="E10" s="37">
        <v>70000</v>
      </c>
      <c r="F10" s="37">
        <v>53000</v>
      </c>
      <c r="G10" s="9">
        <f t="shared" si="0"/>
        <v>265000</v>
      </c>
      <c r="H10" s="9">
        <f t="shared" si="1"/>
        <v>33265.484389691439</v>
      </c>
      <c r="I10" s="9">
        <f t="shared" si="2"/>
        <v>231734.51561030856</v>
      </c>
    </row>
    <row r="11" spans="1:9" ht="15.75" customHeight="1" x14ac:dyDescent="0.25">
      <c r="A11" s="69">
        <f t="shared" si="3"/>
        <v>2030</v>
      </c>
      <c r="B11" s="36">
        <v>28735.596000000001</v>
      </c>
      <c r="C11" s="37">
        <v>54000</v>
      </c>
      <c r="D11" s="37">
        <v>90000</v>
      </c>
      <c r="E11" s="37">
        <v>72000</v>
      </c>
      <c r="F11" s="37">
        <v>55000</v>
      </c>
      <c r="G11" s="9">
        <f t="shared" si="0"/>
        <v>271000</v>
      </c>
      <c r="H11" s="9">
        <f t="shared" si="1"/>
        <v>33476.642304878405</v>
      </c>
      <c r="I11" s="9">
        <f t="shared" si="2"/>
        <v>237523.35769512161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3005670.6374416696</v>
      </c>
      <c r="I12" s="9">
        <f t="shared" si="2"/>
        <v>15577998.362558331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3063920.0683998414</v>
      </c>
      <c r="I13" s="9">
        <f t="shared" si="2"/>
        <v>16110659.931600159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3133819.3855496477</v>
      </c>
      <c r="I14" s="9">
        <f t="shared" si="2"/>
        <v>16642436.614450352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3192068.8165078196</v>
      </c>
      <c r="I15" s="9">
        <f t="shared" si="2"/>
        <v>17194659.18349218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7.9147290000946731E-3</v>
      </c>
    </row>
    <row r="4" spans="1:8" ht="15.75" customHeight="1" x14ac:dyDescent="0.25">
      <c r="B4" s="11" t="s">
        <v>69</v>
      </c>
      <c r="C4" s="38">
        <v>0.1533843925775738</v>
      </c>
    </row>
    <row r="5" spans="1:8" ht="15.75" customHeight="1" x14ac:dyDescent="0.25">
      <c r="B5" s="11" t="s">
        <v>70</v>
      </c>
      <c r="C5" s="38">
        <v>6.4479105355615352E-2</v>
      </c>
    </row>
    <row r="6" spans="1:8" ht="15.75" customHeight="1" x14ac:dyDescent="0.25">
      <c r="B6" s="11" t="s">
        <v>71</v>
      </c>
      <c r="C6" s="38">
        <v>0.23649566276780309</v>
      </c>
    </row>
    <row r="7" spans="1:8" ht="15.75" customHeight="1" x14ac:dyDescent="0.25">
      <c r="B7" s="11" t="s">
        <v>72</v>
      </c>
      <c r="C7" s="38">
        <v>0.38025492529633198</v>
      </c>
    </row>
    <row r="8" spans="1:8" ht="15.75" customHeight="1" x14ac:dyDescent="0.25">
      <c r="B8" s="11" t="s">
        <v>73</v>
      </c>
      <c r="C8" s="38">
        <v>1.042646798727674E-2</v>
      </c>
    </row>
    <row r="9" spans="1:8" ht="15.75" customHeight="1" x14ac:dyDescent="0.25">
      <c r="B9" s="11" t="s">
        <v>74</v>
      </c>
      <c r="C9" s="38">
        <v>7.7012960164927244E-2</v>
      </c>
    </row>
    <row r="10" spans="1:8" ht="15.75" customHeight="1" x14ac:dyDescent="0.25">
      <c r="B10" s="11" t="s">
        <v>75</v>
      </c>
      <c r="C10" s="38">
        <v>7.0031756850376978E-2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0.16193196923358499</v>
      </c>
      <c r="D14" s="38">
        <v>0.16193196923358499</v>
      </c>
      <c r="E14" s="38">
        <v>0.16193196923358499</v>
      </c>
      <c r="F14" s="38">
        <v>0.16193196923358499</v>
      </c>
    </row>
    <row r="15" spans="1:8" ht="15.75" customHeight="1" x14ac:dyDescent="0.25">
      <c r="B15" s="11" t="s">
        <v>82</v>
      </c>
      <c r="C15" s="38">
        <v>0.27978375889571799</v>
      </c>
      <c r="D15" s="38">
        <v>0.27978375889571799</v>
      </c>
      <c r="E15" s="38">
        <v>0.27978375889571799</v>
      </c>
      <c r="F15" s="38">
        <v>0.27978375889571799</v>
      </c>
    </row>
    <row r="16" spans="1:8" ht="15.75" customHeight="1" x14ac:dyDescent="0.25">
      <c r="B16" s="11" t="s">
        <v>83</v>
      </c>
      <c r="C16" s="38">
        <v>4.567002895312388E-2</v>
      </c>
      <c r="D16" s="38">
        <v>4.567002895312388E-2</v>
      </c>
      <c r="E16" s="38">
        <v>4.567002895312388E-2</v>
      </c>
      <c r="F16" s="38">
        <v>4.567002895312388E-2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3.0422333202441278E-2</v>
      </c>
      <c r="D19" s="38">
        <v>3.0422333202441278E-2</v>
      </c>
      <c r="E19" s="38">
        <v>3.0422333202441278E-2</v>
      </c>
      <c r="F19" s="38">
        <v>3.0422333202441278E-2</v>
      </c>
    </row>
    <row r="20" spans="1:8" ht="15.75" customHeight="1" x14ac:dyDescent="0.25">
      <c r="B20" s="11" t="s">
        <v>87</v>
      </c>
      <c r="C20" s="38">
        <v>6.1088272580749536E-4</v>
      </c>
      <c r="D20" s="38">
        <v>6.1088272580749536E-4</v>
      </c>
      <c r="E20" s="38">
        <v>6.1088272580749536E-4</v>
      </c>
      <c r="F20" s="38">
        <v>6.1088272580749536E-4</v>
      </c>
    </row>
    <row r="21" spans="1:8" ht="15.75" customHeight="1" x14ac:dyDescent="0.25">
      <c r="B21" s="11" t="s">
        <v>88</v>
      </c>
      <c r="C21" s="38">
        <v>0.11072397608163879</v>
      </c>
      <c r="D21" s="38">
        <v>0.11072397608163879</v>
      </c>
      <c r="E21" s="38">
        <v>0.11072397608163879</v>
      </c>
      <c r="F21" s="38">
        <v>0.11072397608163879</v>
      </c>
    </row>
    <row r="22" spans="1:8" ht="15.75" customHeight="1" x14ac:dyDescent="0.25">
      <c r="B22" s="11" t="s">
        <v>89</v>
      </c>
      <c r="C22" s="38">
        <v>0.37085705090768561</v>
      </c>
      <c r="D22" s="38">
        <v>0.37085705090768561</v>
      </c>
      <c r="E22" s="38">
        <v>0.37085705090768561</v>
      </c>
      <c r="F22" s="38">
        <v>0.37085705090768561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8.8581871999999992E-2</v>
      </c>
    </row>
    <row r="27" spans="1:8" ht="15.75" customHeight="1" x14ac:dyDescent="0.25">
      <c r="B27" s="11" t="s">
        <v>92</v>
      </c>
      <c r="C27" s="38">
        <v>8.8641740000000007E-3</v>
      </c>
    </row>
    <row r="28" spans="1:8" ht="15.75" customHeight="1" x14ac:dyDescent="0.25">
      <c r="B28" s="11" t="s">
        <v>93</v>
      </c>
      <c r="C28" s="38">
        <v>0.15728592299999999</v>
      </c>
    </row>
    <row r="29" spans="1:8" ht="15.75" customHeight="1" x14ac:dyDescent="0.25">
      <c r="B29" s="11" t="s">
        <v>94</v>
      </c>
      <c r="C29" s="38">
        <v>0.170055973</v>
      </c>
    </row>
    <row r="30" spans="1:8" ht="15.75" customHeight="1" x14ac:dyDescent="0.25">
      <c r="B30" s="11" t="s">
        <v>95</v>
      </c>
      <c r="C30" s="38">
        <v>0.105793744</v>
      </c>
    </row>
    <row r="31" spans="1:8" ht="15.75" customHeight="1" x14ac:dyDescent="0.25">
      <c r="B31" s="11" t="s">
        <v>96</v>
      </c>
      <c r="C31" s="38">
        <v>0.111206134</v>
      </c>
    </row>
    <row r="32" spans="1:8" ht="15.75" customHeight="1" x14ac:dyDescent="0.25">
      <c r="B32" s="11" t="s">
        <v>97</v>
      </c>
      <c r="C32" s="38">
        <v>1.8849359E-2</v>
      </c>
    </row>
    <row r="33" spans="2:3" ht="15.75" customHeight="1" x14ac:dyDescent="0.25">
      <c r="B33" s="11" t="s">
        <v>98</v>
      </c>
      <c r="C33" s="38">
        <v>8.5214494999999987E-2</v>
      </c>
    </row>
    <row r="34" spans="2:3" ht="15.75" customHeight="1" x14ac:dyDescent="0.25">
      <c r="B34" s="11" t="s">
        <v>99</v>
      </c>
      <c r="C34" s="38">
        <v>0.25414832700000001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0.43950716248183852</v>
      </c>
      <c r="D2" s="99">
        <f>IFERROR(1-_xlfn.NORM.DIST(_xlfn.NORM.INV(SUM(D4:D5), 0, 1) + 1, 0, 1, TRUE), "")</f>
        <v>0.43950716248183852</v>
      </c>
      <c r="E2" s="99">
        <f>IFERROR(1-_xlfn.NORM.DIST(_xlfn.NORM.INV(SUM(E4:E5), 0, 1) + 1, 0, 1, TRUE), "")</f>
        <v>0.36279216678628967</v>
      </c>
      <c r="F2" s="99">
        <f>IFERROR(1-_xlfn.NORM.DIST(_xlfn.NORM.INV(SUM(F4:F5), 0, 1) + 1, 0, 1, TRUE), "")</f>
        <v>0.24646901700027191</v>
      </c>
      <c r="G2" s="99">
        <f>IFERROR(1-_xlfn.NORM.DIST(_xlfn.NORM.INV(SUM(G4:G5), 0, 1) + 1, 0, 1, TRUE), "")</f>
        <v>0.30134322470984909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0.36221290537685719</v>
      </c>
      <c r="D3" s="99">
        <f>IFERROR(_xlfn.NORM.DIST(_xlfn.NORM.INV(SUM(D4:D5), 0, 1) + 1, 0, 1, TRUE) - SUM(D4:D5), "")</f>
        <v>0.36221290537685719</v>
      </c>
      <c r="E3" s="99">
        <f>IFERROR(_xlfn.NORM.DIST(_xlfn.NORM.INV(SUM(E4:E5), 0, 1) + 1, 0, 1, TRUE) - SUM(E4:E5), "")</f>
        <v>0.37903691558351532</v>
      </c>
      <c r="F3" s="99">
        <f>IFERROR(_xlfn.NORM.DIST(_xlfn.NORM.INV(SUM(F4:F5), 0, 1) + 1, 0, 1, TRUE) - SUM(F4:F5), "")</f>
        <v>0.37690589216224912</v>
      </c>
      <c r="G3" s="99">
        <f>IFERROR(_xlfn.NORM.DIST(_xlfn.NORM.INV(SUM(G4:G5), 0, 1) + 1, 0, 1, TRUE) - SUM(G4:G5), "")</f>
        <v>0.38285065465607193</v>
      </c>
    </row>
    <row r="4" spans="1:15" ht="15.75" customHeight="1" x14ac:dyDescent="0.25">
      <c r="B4" s="69" t="s">
        <v>104</v>
      </c>
      <c r="C4" s="39">
        <v>0.12910370528698001</v>
      </c>
      <c r="D4" s="39">
        <v>0.12910370528698001</v>
      </c>
      <c r="E4" s="39">
        <v>0.13079951703548401</v>
      </c>
      <c r="F4" s="39">
        <v>0.16891008615493799</v>
      </c>
      <c r="G4" s="39">
        <v>0.150349751114845</v>
      </c>
    </row>
    <row r="5" spans="1:15" ht="15.75" customHeight="1" x14ac:dyDescent="0.25">
      <c r="B5" s="69" t="s">
        <v>105</v>
      </c>
      <c r="C5" s="39">
        <v>6.9176226854324299E-2</v>
      </c>
      <c r="D5" s="39">
        <v>6.9176226854324299E-2</v>
      </c>
      <c r="E5" s="39">
        <v>0.127371400594711</v>
      </c>
      <c r="F5" s="39">
        <v>0.207715004682541</v>
      </c>
      <c r="G5" s="39">
        <v>0.16545636951923401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0.46382902004533699</v>
      </c>
      <c r="D8" s="99">
        <f>IFERROR(1-_xlfn.NORM.DIST(_xlfn.NORM.INV(SUM(D10:D11), 0, 1) + 1, 0, 1, TRUE), "")</f>
        <v>0.46382902004533699</v>
      </c>
      <c r="E8" s="99">
        <f>IFERROR(1-_xlfn.NORM.DIST(_xlfn.NORM.INV(SUM(E10:E11), 0, 1) + 1, 0, 1, TRUE), "")</f>
        <v>0.45825871662755446</v>
      </c>
      <c r="F8" s="99">
        <f>IFERROR(1-_xlfn.NORM.DIST(_xlfn.NORM.INV(SUM(F10:F11), 0, 1) + 1, 0, 1, TRUE), "")</f>
        <v>0.56236280455792986</v>
      </c>
      <c r="G8" s="99">
        <f>IFERROR(1-_xlfn.NORM.DIST(_xlfn.NORM.INV(SUM(G10:G11), 0, 1) + 1, 0, 1, TRUE), "")</f>
        <v>0.64757425318477224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0.35455086640304634</v>
      </c>
      <c r="D9" s="99">
        <f>IFERROR(_xlfn.NORM.DIST(_xlfn.NORM.INV(SUM(D10:D11), 0, 1) + 1, 0, 1, TRUE) - SUM(D10:D11), "")</f>
        <v>0.35455086640304634</v>
      </c>
      <c r="E9" s="99">
        <f>IFERROR(_xlfn.NORM.DIST(_xlfn.NORM.INV(SUM(E10:E11), 0, 1) + 1, 0, 1, TRUE) - SUM(E10:E11), "")</f>
        <v>0.35639543993811151</v>
      </c>
      <c r="F9" s="99">
        <f>IFERROR(_xlfn.NORM.DIST(_xlfn.NORM.INV(SUM(F10:F11), 0, 1) + 1, 0, 1, TRUE) - SUM(F10:F11), "")</f>
        <v>0.3139933575729027</v>
      </c>
      <c r="G9" s="99">
        <f>IFERROR(_xlfn.NORM.DIST(_xlfn.NORM.INV(SUM(G10:G11), 0, 1) + 1, 0, 1, TRUE) - SUM(G10:G11), "")</f>
        <v>0.26844439675095016</v>
      </c>
    </row>
    <row r="10" spans="1:15" ht="15.75" customHeight="1" x14ac:dyDescent="0.25">
      <c r="B10" s="69" t="s">
        <v>109</v>
      </c>
      <c r="C10" s="39">
        <v>8.3225898444652599E-2</v>
      </c>
      <c r="D10" s="39">
        <v>8.3225898444652599E-2</v>
      </c>
      <c r="E10" s="39">
        <v>0.12705050408840199</v>
      </c>
      <c r="F10" s="39">
        <v>8.5907585918903406E-2</v>
      </c>
      <c r="G10" s="39">
        <v>4.8662886023521403E-2</v>
      </c>
    </row>
    <row r="11" spans="1:15" ht="15.75" customHeight="1" x14ac:dyDescent="0.25">
      <c r="B11" s="69" t="s">
        <v>110</v>
      </c>
      <c r="C11" s="39">
        <v>9.8394215106964097E-2</v>
      </c>
      <c r="D11" s="39">
        <v>9.8394215106964097E-2</v>
      </c>
      <c r="E11" s="39">
        <v>5.8295339345932E-2</v>
      </c>
      <c r="F11" s="39">
        <v>3.7736251950263998E-2</v>
      </c>
      <c r="G11" s="39">
        <v>3.5318464040756198E-2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0.63803419224999991</v>
      </c>
      <c r="D14" s="40">
        <v>0.63816869495700002</v>
      </c>
      <c r="E14" s="40">
        <v>0.63816869495700002</v>
      </c>
      <c r="F14" s="40">
        <v>0.43302120201400002</v>
      </c>
      <c r="G14" s="40">
        <v>0.43302120201400002</v>
      </c>
      <c r="H14" s="41">
        <v>0.34200000000000003</v>
      </c>
      <c r="I14" s="41">
        <v>0.34200000000000003</v>
      </c>
      <c r="J14" s="41">
        <v>0.34200000000000003</v>
      </c>
      <c r="K14" s="41">
        <v>0.34200000000000003</v>
      </c>
      <c r="L14" s="41">
        <v>0.28799999999999998</v>
      </c>
      <c r="M14" s="41">
        <v>0.28799999999999998</v>
      </c>
      <c r="N14" s="41">
        <v>0.28799999999999998</v>
      </c>
      <c r="O14" s="41">
        <v>0.28799999999999998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0.32531513163669967</v>
      </c>
      <c r="D15" s="99">
        <f t="shared" si="0"/>
        <v>0.32538371066642052</v>
      </c>
      <c r="E15" s="99">
        <f t="shared" si="0"/>
        <v>0.32538371066642052</v>
      </c>
      <c r="F15" s="99">
        <f t="shared" si="0"/>
        <v>0.2207849532920802</v>
      </c>
      <c r="G15" s="99">
        <f t="shared" si="0"/>
        <v>0.2207849532920802</v>
      </c>
      <c r="H15" s="99">
        <f t="shared" si="0"/>
        <v>0.17437588200000001</v>
      </c>
      <c r="I15" s="99">
        <f t="shared" si="0"/>
        <v>0.17437588200000001</v>
      </c>
      <c r="J15" s="99">
        <f t="shared" si="0"/>
        <v>0.17437588200000001</v>
      </c>
      <c r="K15" s="99">
        <f t="shared" si="0"/>
        <v>0.17437588200000001</v>
      </c>
      <c r="L15" s="99">
        <f t="shared" si="0"/>
        <v>0.14684284799999997</v>
      </c>
      <c r="M15" s="99">
        <f t="shared" si="0"/>
        <v>0.14684284799999997</v>
      </c>
      <c r="N15" s="99">
        <f t="shared" si="0"/>
        <v>0.14684284799999997</v>
      </c>
      <c r="O15" s="99">
        <f t="shared" si="0"/>
        <v>0.14684284799999997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0.21005278825759899</v>
      </c>
      <c r="D2" s="39">
        <v>0.10688060000000001</v>
      </c>
      <c r="E2" s="39"/>
      <c r="F2" s="39"/>
      <c r="G2" s="39"/>
    </row>
    <row r="3" spans="1:7" x14ac:dyDescent="0.25">
      <c r="B3" s="78" t="s">
        <v>120</v>
      </c>
      <c r="C3" s="39">
        <v>0.491416126489639</v>
      </c>
      <c r="D3" s="39">
        <v>0.3412442</v>
      </c>
      <c r="E3" s="39"/>
      <c r="F3" s="39"/>
      <c r="G3" s="39"/>
    </row>
    <row r="4" spans="1:7" x14ac:dyDescent="0.25">
      <c r="B4" s="78" t="s">
        <v>121</v>
      </c>
      <c r="C4" s="39">
        <v>0.23050220310687999</v>
      </c>
      <c r="D4" s="39">
        <v>0.4981411</v>
      </c>
      <c r="E4" s="39">
        <v>0.87793457508087203</v>
      </c>
      <c r="F4" s="39">
        <v>0.65165728330612194</v>
      </c>
      <c r="G4" s="39"/>
    </row>
    <row r="5" spans="1:7" x14ac:dyDescent="0.25">
      <c r="B5" s="78" t="s">
        <v>122</v>
      </c>
      <c r="C5" s="100">
        <v>6.8028889596462194E-2</v>
      </c>
      <c r="D5" s="100">
        <v>5.3734026849269902E-2</v>
      </c>
      <c r="E5" s="100">
        <f>1-E2-E3-E4</f>
        <v>0.12206542491912797</v>
      </c>
      <c r="F5" s="100">
        <f>1-F2-F3-F4</f>
        <v>0.34834271669387806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2023-01-25T03:22:59Z</dcterms:modified>
</cp:coreProperties>
</file>