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7E242F9-B3E1-4E26-8BF8-E3C25BD0FA6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33" i="2" l="1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<sst xmlns="http://schemas.openxmlformats.org/spreadsheetml/2006/main" count="2093" uniqueCount="337">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</sst>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2099234.15625</v>
      </c>
    </row>
    <row r="8" spans="1:3" ht="15" customHeight="1" x14ac:dyDescent="0.25">
      <c r="B8" s="69" t="s">
        <v>8</v>
      </c>
      <c r="C8" s="32">
        <v>8.6999999999999994E-2</v>
      </c>
    </row>
    <row r="9" spans="1:3" ht="15" customHeight="1" x14ac:dyDescent="0.25">
      <c r="B9" s="69" t="s">
        <v>9</v>
      </c>
      <c r="C9" s="33">
        <v>2.5000000000000001E-2</v>
      </c>
    </row>
    <row r="10" spans="1:3" ht="15" customHeight="1" x14ac:dyDescent="0.25">
      <c r="B10" s="69" t="s">
        <v>10</v>
      </c>
      <c r="C10" s="33">
        <v>0.42616619110107401</v>
      </c>
    </row>
    <row r="11" spans="1:3" ht="15" customHeight="1" x14ac:dyDescent="0.25">
      <c r="B11" s="69" t="s">
        <v>11</v>
      </c>
      <c r="C11" s="32">
        <v>0.86199999999999999</v>
      </c>
    </row>
    <row r="12" spans="1:3" ht="15" customHeight="1" x14ac:dyDescent="0.25">
      <c r="B12" s="69" t="s">
        <v>12</v>
      </c>
      <c r="C12" s="32">
        <v>0.52</v>
      </c>
    </row>
    <row r="13" spans="1:3" ht="15" customHeight="1" x14ac:dyDescent="0.25">
      <c r="B13" s="69" t="s">
        <v>13</v>
      </c>
      <c r="C13" s="32">
        <v>0.34399999999999997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0.1226</v>
      </c>
    </row>
    <row r="24" spans="1:3" ht="15" customHeight="1" x14ac:dyDescent="0.25">
      <c r="B24" s="7" t="s">
        <v>22</v>
      </c>
      <c r="C24" s="33">
        <v>0.47810000000000002</v>
      </c>
    </row>
    <row r="25" spans="1:3" ht="15" customHeight="1" x14ac:dyDescent="0.25">
      <c r="B25" s="7" t="s">
        <v>23</v>
      </c>
      <c r="C25" s="33">
        <v>0.32329999999999998</v>
      </c>
    </row>
    <row r="26" spans="1:3" ht="15" customHeight="1" x14ac:dyDescent="0.25">
      <c r="B26" s="7" t="s">
        <v>24</v>
      </c>
      <c r="C26" s="33">
        <v>7.5999999999999998E-2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0.31902004277447799</v>
      </c>
    </row>
    <row r="30" spans="1:3" ht="14.25" customHeight="1" x14ac:dyDescent="0.25">
      <c r="B30" s="15" t="s">
        <v>27</v>
      </c>
      <c r="C30" s="42">
        <v>3.8927695356885797E-2</v>
      </c>
    </row>
    <row r="31" spans="1:3" ht="14.25" customHeight="1" x14ac:dyDescent="0.25">
      <c r="B31" s="15" t="s">
        <v>28</v>
      </c>
      <c r="C31" s="42">
        <v>8.8909302312887295E-2</v>
      </c>
    </row>
    <row r="32" spans="1:3" ht="14.25" customHeight="1" x14ac:dyDescent="0.25">
      <c r="B32" s="15" t="s">
        <v>29</v>
      </c>
      <c r="C32" s="42">
        <v>0.55314295955574899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12.166279579710499</v>
      </c>
    </row>
    <row r="38" spans="1:5" ht="15" customHeight="1" x14ac:dyDescent="0.25">
      <c r="B38" s="65" t="s">
        <v>34</v>
      </c>
      <c r="C38" s="94">
        <v>20.7475156404135</v>
      </c>
      <c r="D38" s="5"/>
      <c r="E38" s="6"/>
    </row>
    <row r="39" spans="1:5" ht="15" customHeight="1" x14ac:dyDescent="0.25">
      <c r="B39" s="65" t="s">
        <v>35</v>
      </c>
      <c r="C39" s="94">
        <v>24.519627144447099</v>
      </c>
      <c r="D39" s="5"/>
      <c r="E39" s="5"/>
    </row>
    <row r="40" spans="1:5" ht="15" customHeight="1" x14ac:dyDescent="0.25">
      <c r="B40" s="65" t="s">
        <v>36</v>
      </c>
      <c r="C40" s="94">
        <v>0.95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12.74327555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1.6052E-2</v>
      </c>
      <c r="D45" s="5"/>
    </row>
    <row r="46" spans="1:5" ht="15.75" customHeight="1" x14ac:dyDescent="0.25">
      <c r="B46" s="65" t="s">
        <v>41</v>
      </c>
      <c r="C46" s="33">
        <v>6.0999770000000002E-2</v>
      </c>
      <c r="D46" s="5"/>
    </row>
    <row r="47" spans="1:5" ht="15.75" customHeight="1" x14ac:dyDescent="0.25">
      <c r="B47" s="65" t="s">
        <v>42</v>
      </c>
      <c r="C47" s="33">
        <v>0.1196266</v>
      </c>
      <c r="D47" s="5"/>
      <c r="E47" s="6"/>
    </row>
    <row r="48" spans="1:5" ht="15" customHeight="1" x14ac:dyDescent="0.25">
      <c r="B48" s="65" t="s">
        <v>43</v>
      </c>
      <c r="C48" s="97">
        <v>0.8033216299999999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0.55069000000000001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0.10957712999999999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0.66557767949962598</v>
      </c>
      <c r="C2" s="43">
        <v>0.95</v>
      </c>
      <c r="D2" s="86">
        <v>58.046796887133439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39.880519812243307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414.67441286273032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0.574003752057752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0.20624720445403999</v>
      </c>
      <c r="C10" s="43">
        <v>0.95</v>
      </c>
      <c r="D10" s="86">
        <v>13.01281925603921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0.20624720445403999</v>
      </c>
      <c r="C11" s="43">
        <v>0.95</v>
      </c>
      <c r="D11" s="86">
        <v>13.01281925603921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0.20624720445403999</v>
      </c>
      <c r="C12" s="43">
        <v>0.95</v>
      </c>
      <c r="D12" s="86">
        <v>13.01281925603921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0.20624720445403999</v>
      </c>
      <c r="C13" s="43">
        <v>0.95</v>
      </c>
      <c r="D13" s="86">
        <v>13.01281925603921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0.20624720445403999</v>
      </c>
      <c r="C14" s="43">
        <v>0.95</v>
      </c>
      <c r="D14" s="86">
        <v>13.01281925603921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0.20624720445403999</v>
      </c>
      <c r="C15" s="43">
        <v>0.95</v>
      </c>
      <c r="D15" s="86">
        <v>13.01281925603921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0.71958505593456223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0.26</v>
      </c>
      <c r="C18" s="43">
        <v>0.95</v>
      </c>
      <c r="D18" s="86">
        <v>9.5596491969757462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9.5596491969757462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0.64999759999999995</v>
      </c>
      <c r="C21" s="43">
        <v>0.95</v>
      </c>
      <c r="D21" s="86">
        <v>7.0854510124004477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22.45630615654899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4.2797375448782464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0.16430574333039999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0.16085993668708801</v>
      </c>
      <c r="C27" s="43">
        <v>0.95</v>
      </c>
      <c r="D27" s="86">
        <v>18.574405815047299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0.65063135075419498</v>
      </c>
      <c r="C29" s="43">
        <v>0.95</v>
      </c>
      <c r="D29" s="86">
        <v>113.6877099192675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0.15047472246892171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4.2000000000000003E-2</v>
      </c>
      <c r="C32" s="43">
        <v>0.95</v>
      </c>
      <c r="D32" s="86">
        <v>1.545126983877527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5.8038420680000001E-2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7.1150145338447288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0.80150104113057907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1.90800458192825E-2</v>
      </c>
      <c r="C3" s="13">
        <f>frac_mam_1_5months * 2.6</f>
        <v>1.90800458192825E-2</v>
      </c>
      <c r="D3" s="13">
        <f>frac_mam_6_11months * 2.6</f>
        <v>2.181455716490752E-2</v>
      </c>
      <c r="E3" s="13">
        <f>frac_mam_12_23months * 2.6</f>
        <v>2.698361203074446E-2</v>
      </c>
      <c r="F3" s="13">
        <f>frac_mam_24_59months * 2.6</f>
        <v>1.0831178817898142E-2</v>
      </c>
    </row>
    <row r="4" spans="1:6" ht="15.75" customHeight="1" x14ac:dyDescent="0.25">
      <c r="A4" s="78" t="s">
        <v>204</v>
      </c>
      <c r="B4" s="13">
        <f>frac_sam_1month * 2.6</f>
        <v>5.9327530208975595E-3</v>
      </c>
      <c r="C4" s="13">
        <f>frac_sam_1_5months * 2.6</f>
        <v>5.9327530208975595E-3</v>
      </c>
      <c r="D4" s="13">
        <f>frac_sam_6_11months * 2.6</f>
        <v>1.2831438216381202E-3</v>
      </c>
      <c r="E4" s="13">
        <f>frac_sam_12_23months * 2.6</f>
        <v>1.24847903498448E-3</v>
      </c>
      <c r="F4" s="13">
        <f>frac_sam_24_59months * 2.6</f>
        <v>4.5087812002747802E-3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8.6999999999999994E-2</v>
      </c>
      <c r="E2" s="47">
        <f>food_insecure</f>
        <v>8.6999999999999994E-2</v>
      </c>
      <c r="F2" s="47">
        <f>food_insecure</f>
        <v>8.6999999999999994E-2</v>
      </c>
      <c r="G2" s="47">
        <f>food_insecure</f>
        <v>8.6999999999999994E-2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8.6999999999999994E-2</v>
      </c>
      <c r="F5" s="47">
        <f>food_insecure</f>
        <v>8.6999999999999994E-2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8.6999999999999994E-2</v>
      </c>
      <c r="F8" s="47">
        <f>food_insecure</f>
        <v>8.6999999999999994E-2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8.6999999999999994E-2</v>
      </c>
      <c r="F9" s="47">
        <f>food_insecure</f>
        <v>8.6999999999999994E-2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0.52</v>
      </c>
      <c r="E10" s="47">
        <f>IF(ISBLANK(comm_deliv), frac_children_health_facility,1)</f>
        <v>0.52</v>
      </c>
      <c r="F10" s="47">
        <f>IF(ISBLANK(comm_deliv), frac_children_health_facility,1)</f>
        <v>0.52</v>
      </c>
      <c r="G10" s="47">
        <f>IF(ISBLANK(comm_deliv), frac_children_health_facility,1)</f>
        <v>0.52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8.6999999999999994E-2</v>
      </c>
      <c r="I15" s="47">
        <f>food_insecure</f>
        <v>8.6999999999999994E-2</v>
      </c>
      <c r="J15" s="47">
        <f>food_insecure</f>
        <v>8.6999999999999994E-2</v>
      </c>
      <c r="K15" s="47">
        <f>food_insecure</f>
        <v>8.6999999999999994E-2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0.86199999999999999</v>
      </c>
      <c r="I18" s="47">
        <f>frac_PW_health_facility</f>
        <v>0.86199999999999999</v>
      </c>
      <c r="J18" s="47">
        <f>frac_PW_health_facility</f>
        <v>0.86199999999999999</v>
      </c>
      <c r="K18" s="47">
        <f>frac_PW_health_facility</f>
        <v>0.86199999999999999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2.5000000000000001E-2</v>
      </c>
      <c r="I19" s="47">
        <f>frac_malaria_risk</f>
        <v>2.5000000000000001E-2</v>
      </c>
      <c r="J19" s="47">
        <f>frac_malaria_risk</f>
        <v>2.5000000000000001E-2</v>
      </c>
      <c r="K19" s="47">
        <f>frac_malaria_risk</f>
        <v>2.5000000000000001E-2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0.34399999999999997</v>
      </c>
      <c r="M24" s="47">
        <f>famplan_unmet_need</f>
        <v>0.34399999999999997</v>
      </c>
      <c r="N24" s="47">
        <f>famplan_unmet_need</f>
        <v>0.34399999999999997</v>
      </c>
      <c r="O24" s="47">
        <f>famplan_unmet_need</f>
        <v>0.34399999999999997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0.29166251004905708</v>
      </c>
      <c r="M25" s="47">
        <f>(1-food_insecure)*(0.49)+food_insecure*(0.7)</f>
        <v>0.50827</v>
      </c>
      <c r="N25" s="47">
        <f>(1-food_insecure)*(0.49)+food_insecure*(0.7)</f>
        <v>0.50827</v>
      </c>
      <c r="O25" s="47">
        <f>(1-food_insecure)*(0.49)+food_insecure*(0.7)</f>
        <v>0.50827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0.12499821859245305</v>
      </c>
      <c r="M26" s="47">
        <f>(1-food_insecure)*(0.21)+food_insecure*(0.3)</f>
        <v>0.21783000000000002</v>
      </c>
      <c r="N26" s="47">
        <f>(1-food_insecure)*(0.21)+food_insecure*(0.3)</f>
        <v>0.21783000000000002</v>
      </c>
      <c r="O26" s="47">
        <f>(1-food_insecure)*(0.21)+food_insecure*(0.3)</f>
        <v>0.21783000000000002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0.1571730802574158</v>
      </c>
      <c r="M27" s="47">
        <f>(1-food_insecure)*(0.3)</f>
        <v>0.27389999999999998</v>
      </c>
      <c r="N27" s="47">
        <f>(1-food_insecure)*(0.3)</f>
        <v>0.27389999999999998</v>
      </c>
      <c r="O27" s="47">
        <f>(1-food_insecure)*(0.3)</f>
        <v>0.27389999999999998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0.42616619110107401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2.5000000000000001E-2</v>
      </c>
      <c r="D34" s="47">
        <f t="shared" si="3"/>
        <v>2.5000000000000001E-2</v>
      </c>
      <c r="E34" s="47">
        <f t="shared" si="3"/>
        <v>2.5000000000000001E-2</v>
      </c>
      <c r="F34" s="47">
        <f t="shared" si="3"/>
        <v>2.5000000000000001E-2</v>
      </c>
      <c r="G34" s="47">
        <f t="shared" si="3"/>
        <v>2.5000000000000001E-2</v>
      </c>
      <c r="H34" s="47">
        <f t="shared" si="3"/>
        <v>2.5000000000000001E-2</v>
      </c>
      <c r="I34" s="47">
        <f t="shared" si="3"/>
        <v>2.5000000000000001E-2</v>
      </c>
      <c r="J34" s="47">
        <f t="shared" si="3"/>
        <v>2.5000000000000001E-2</v>
      </c>
      <c r="K34" s="47">
        <f t="shared" si="3"/>
        <v>2.5000000000000001E-2</v>
      </c>
      <c r="L34" s="47">
        <f t="shared" si="3"/>
        <v>2.5000000000000001E-2</v>
      </c>
      <c r="M34" s="47">
        <f t="shared" si="3"/>
        <v>2.5000000000000001E-2</v>
      </c>
      <c r="N34" s="47">
        <f t="shared" si="3"/>
        <v>2.5000000000000001E-2</v>
      </c>
      <c r="O34" s="47">
        <f t="shared" si="3"/>
        <v>2.5000000000000001E-2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428099.10879999999</v>
      </c>
      <c r="C2" s="37">
        <v>955000</v>
      </c>
      <c r="D2" s="37">
        <v>1727000</v>
      </c>
      <c r="E2" s="37">
        <v>1332000</v>
      </c>
      <c r="F2" s="37">
        <v>954000</v>
      </c>
      <c r="G2" s="9">
        <f t="shared" ref="G2:G40" si="0">C2+D2+E2+F2</f>
        <v>4968000</v>
      </c>
      <c r="H2" s="9">
        <f t="shared" ref="H2:H40" si="1">(B2 + stillbirth*B2/(1000-stillbirth))/(1-abortion)</f>
        <v>492755.58013647923</v>
      </c>
      <c r="I2" s="9">
        <f t="shared" ref="I2:I40" si="2">G2-H2</f>
        <v>4475244.4198635211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428987.51479999989</v>
      </c>
      <c r="C3" s="37">
        <v>951000</v>
      </c>
      <c r="D3" s="37">
        <v>1757000</v>
      </c>
      <c r="E3" s="37">
        <v>1367000</v>
      </c>
      <c r="F3" s="37">
        <v>993000</v>
      </c>
      <c r="G3" s="9">
        <f t="shared" si="0"/>
        <v>5068000</v>
      </c>
      <c r="H3" s="9">
        <f t="shared" si="1"/>
        <v>493778.16347040347</v>
      </c>
      <c r="I3" s="9">
        <f t="shared" si="2"/>
        <v>4574221.8365295967</v>
      </c>
    </row>
    <row r="4" spans="1:9" ht="15.75" customHeight="1" x14ac:dyDescent="0.25">
      <c r="A4" s="69">
        <f t="shared" si="3"/>
        <v>2023</v>
      </c>
      <c r="B4" s="36">
        <v>429627.63599999988</v>
      </c>
      <c r="C4" s="37">
        <v>945000</v>
      </c>
      <c r="D4" s="37">
        <v>1784000</v>
      </c>
      <c r="E4" s="37">
        <v>1403000</v>
      </c>
      <c r="F4" s="37">
        <v>1032000</v>
      </c>
      <c r="G4" s="9">
        <f t="shared" si="0"/>
        <v>5164000</v>
      </c>
      <c r="H4" s="9">
        <f t="shared" si="1"/>
        <v>494514.96316650143</v>
      </c>
      <c r="I4" s="9">
        <f t="shared" si="2"/>
        <v>4669485.0368334986</v>
      </c>
    </row>
    <row r="5" spans="1:9" ht="15.75" customHeight="1" x14ac:dyDescent="0.25">
      <c r="A5" s="69">
        <f t="shared" si="3"/>
        <v>2024</v>
      </c>
      <c r="B5" s="36">
        <v>429997.12559999991</v>
      </c>
      <c r="C5" s="37">
        <v>939000</v>
      </c>
      <c r="D5" s="37">
        <v>1808000</v>
      </c>
      <c r="E5" s="37">
        <v>1440000</v>
      </c>
      <c r="F5" s="37">
        <v>1070000</v>
      </c>
      <c r="G5" s="9">
        <f t="shared" si="0"/>
        <v>5257000</v>
      </c>
      <c r="H5" s="9">
        <f t="shared" si="1"/>
        <v>494940.2573529639</v>
      </c>
      <c r="I5" s="9">
        <f t="shared" si="2"/>
        <v>4762059.742647036</v>
      </c>
    </row>
    <row r="6" spans="1:9" ht="15.75" customHeight="1" x14ac:dyDescent="0.25">
      <c r="A6" s="69">
        <f t="shared" si="3"/>
        <v>2025</v>
      </c>
      <c r="B6" s="36">
        <v>430097.10200000001</v>
      </c>
      <c r="C6" s="37">
        <v>938000</v>
      </c>
      <c r="D6" s="37">
        <v>1827000</v>
      </c>
      <c r="E6" s="37">
        <v>1476000</v>
      </c>
      <c r="F6" s="37">
        <v>1105000</v>
      </c>
      <c r="G6" s="9">
        <f t="shared" si="0"/>
        <v>5346000</v>
      </c>
      <c r="H6" s="9">
        <f t="shared" si="1"/>
        <v>495055.33334347483</v>
      </c>
      <c r="I6" s="9">
        <f t="shared" si="2"/>
        <v>4850944.6666565249</v>
      </c>
    </row>
    <row r="7" spans="1:9" ht="15.75" customHeight="1" x14ac:dyDescent="0.25">
      <c r="A7" s="69">
        <f t="shared" si="3"/>
        <v>2026</v>
      </c>
      <c r="B7" s="36">
        <v>430086.20039999997</v>
      </c>
      <c r="C7" s="37">
        <v>938000</v>
      </c>
      <c r="D7" s="37">
        <v>1842000</v>
      </c>
      <c r="E7" s="37">
        <v>1515000</v>
      </c>
      <c r="F7" s="37">
        <v>1140000</v>
      </c>
      <c r="G7" s="9">
        <f t="shared" si="0"/>
        <v>5435000</v>
      </c>
      <c r="H7" s="9">
        <f t="shared" si="1"/>
        <v>495042.78525794507</v>
      </c>
      <c r="I7" s="9">
        <f t="shared" si="2"/>
        <v>4939957.2147420552</v>
      </c>
    </row>
    <row r="8" spans="1:9" ht="15.75" customHeight="1" x14ac:dyDescent="0.25">
      <c r="A8" s="69">
        <f t="shared" si="3"/>
        <v>2027</v>
      </c>
      <c r="B8" s="36">
        <v>429814.67200000002</v>
      </c>
      <c r="C8" s="37">
        <v>943000</v>
      </c>
      <c r="D8" s="37">
        <v>1854000</v>
      </c>
      <c r="E8" s="37">
        <v>1553000</v>
      </c>
      <c r="F8" s="37">
        <v>1173000</v>
      </c>
      <c r="G8" s="9">
        <f t="shared" si="0"/>
        <v>5523000</v>
      </c>
      <c r="H8" s="9">
        <f t="shared" si="1"/>
        <v>494730.24750321684</v>
      </c>
      <c r="I8" s="9">
        <f t="shared" si="2"/>
        <v>5028269.7524967827</v>
      </c>
    </row>
    <row r="9" spans="1:9" ht="15.75" customHeight="1" x14ac:dyDescent="0.25">
      <c r="A9" s="69">
        <f t="shared" si="3"/>
        <v>2028</v>
      </c>
      <c r="B9" s="36">
        <v>429283.6081999999</v>
      </c>
      <c r="C9" s="37">
        <v>949000</v>
      </c>
      <c r="D9" s="37">
        <v>1860000</v>
      </c>
      <c r="E9" s="37">
        <v>1591000</v>
      </c>
      <c r="F9" s="37">
        <v>1204000</v>
      </c>
      <c r="G9" s="9">
        <f t="shared" si="0"/>
        <v>5604000</v>
      </c>
      <c r="H9" s="9">
        <f t="shared" si="1"/>
        <v>494118.97631512198</v>
      </c>
      <c r="I9" s="9">
        <f t="shared" si="2"/>
        <v>5109881.0236848779</v>
      </c>
    </row>
    <row r="10" spans="1:9" ht="15.75" customHeight="1" x14ac:dyDescent="0.25">
      <c r="A10" s="69">
        <f t="shared" si="3"/>
        <v>2029</v>
      </c>
      <c r="B10" s="36">
        <v>428453.0627999999</v>
      </c>
      <c r="C10" s="37">
        <v>956000</v>
      </c>
      <c r="D10" s="37">
        <v>1865000</v>
      </c>
      <c r="E10" s="37">
        <v>1628000</v>
      </c>
      <c r="F10" s="37">
        <v>1236000</v>
      </c>
      <c r="G10" s="9">
        <f t="shared" si="0"/>
        <v>5685000</v>
      </c>
      <c r="H10" s="9">
        <f t="shared" si="1"/>
        <v>493162.99235721584</v>
      </c>
      <c r="I10" s="9">
        <f t="shared" si="2"/>
        <v>5191837.0076427842</v>
      </c>
    </row>
    <row r="11" spans="1:9" ht="15.75" customHeight="1" x14ac:dyDescent="0.25">
      <c r="A11" s="69">
        <f t="shared" si="3"/>
        <v>2030</v>
      </c>
      <c r="B11" s="36">
        <v>427346.46500000003</v>
      </c>
      <c r="C11" s="37">
        <v>964000</v>
      </c>
      <c r="D11" s="37">
        <v>1868000</v>
      </c>
      <c r="E11" s="37">
        <v>1662000</v>
      </c>
      <c r="F11" s="37">
        <v>1269000</v>
      </c>
      <c r="G11" s="9">
        <f t="shared" si="0"/>
        <v>5763000</v>
      </c>
      <c r="H11" s="9">
        <f t="shared" si="1"/>
        <v>491889.26337785606</v>
      </c>
      <c r="I11" s="9">
        <f t="shared" si="2"/>
        <v>5271110.7366221435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2969661.3952682829</v>
      </c>
      <c r="I12" s="9">
        <f t="shared" si="2"/>
        <v>15614007.604731716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3027212.972695963</v>
      </c>
      <c r="I13" s="9">
        <f t="shared" si="2"/>
        <v>16147367.027304037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3096274.8656091788</v>
      </c>
      <c r="I14" s="9">
        <f t="shared" si="2"/>
        <v>16679981.134390822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3153826.4430368589</v>
      </c>
      <c r="I15" s="9">
        <f t="shared" si="2"/>
        <v>17232901.556963142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3.5130817819071071E-3</v>
      </c>
    </row>
    <row r="4" spans="1:8" ht="15.75" customHeight="1" x14ac:dyDescent="0.25">
      <c r="B4" s="11" t="s">
        <v>69</v>
      </c>
      <c r="C4" s="38">
        <v>0.16756844370482921</v>
      </c>
    </row>
    <row r="5" spans="1:8" ht="15.75" customHeight="1" x14ac:dyDescent="0.25">
      <c r="B5" s="11" t="s">
        <v>70</v>
      </c>
      <c r="C5" s="38">
        <v>5.9256639761155201E-2</v>
      </c>
    </row>
    <row r="6" spans="1:8" ht="15.75" customHeight="1" x14ac:dyDescent="0.25">
      <c r="B6" s="11" t="s">
        <v>71</v>
      </c>
      <c r="C6" s="38">
        <v>0.25038142372736832</v>
      </c>
    </row>
    <row r="7" spans="1:8" ht="15.75" customHeight="1" x14ac:dyDescent="0.25">
      <c r="B7" s="11" t="s">
        <v>72</v>
      </c>
      <c r="C7" s="38">
        <v>0.2720050554315106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0.16469480841599021</v>
      </c>
    </row>
    <row r="10" spans="1:8" ht="15.75" customHeight="1" x14ac:dyDescent="0.25">
      <c r="B10" s="11" t="s">
        <v>75</v>
      </c>
      <c r="C10" s="38">
        <v>8.2580547177239449E-2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0.12824227691316409</v>
      </c>
      <c r="D14" s="38">
        <v>0.12824227691316409</v>
      </c>
      <c r="E14" s="38">
        <v>0.12824227691316409</v>
      </c>
      <c r="F14" s="38">
        <v>0.12824227691316409</v>
      </c>
    </row>
    <row r="15" spans="1:8" ht="15.75" customHeight="1" x14ac:dyDescent="0.25">
      <c r="B15" s="11" t="s">
        <v>82</v>
      </c>
      <c r="C15" s="38">
        <v>0.23084694781112761</v>
      </c>
      <c r="D15" s="38">
        <v>0.23084694781112761</v>
      </c>
      <c r="E15" s="38">
        <v>0.23084694781112761</v>
      </c>
      <c r="F15" s="38">
        <v>0.23084694781112761</v>
      </c>
    </row>
    <row r="16" spans="1:8" ht="15.75" customHeight="1" x14ac:dyDescent="0.25">
      <c r="B16" s="11" t="s">
        <v>83</v>
      </c>
      <c r="C16" s="38">
        <v>1.8637472624411601E-2</v>
      </c>
      <c r="D16" s="38">
        <v>1.8637472624411601E-2</v>
      </c>
      <c r="E16" s="38">
        <v>1.8637472624411601E-2</v>
      </c>
      <c r="F16" s="38">
        <v>1.8637472624411601E-2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1.6307097155405061E-4</v>
      </c>
      <c r="D18" s="38">
        <v>1.6307097155405061E-4</v>
      </c>
      <c r="E18" s="38">
        <v>1.6307097155405061E-4</v>
      </c>
      <c r="F18" s="38">
        <v>1.6307097155405061E-4</v>
      </c>
    </row>
    <row r="19" spans="1:8" ht="15.75" customHeight="1" x14ac:dyDescent="0.25">
      <c r="B19" s="11" t="s">
        <v>86</v>
      </c>
      <c r="C19" s="38">
        <v>9.4710085342881983E-3</v>
      </c>
      <c r="D19" s="38">
        <v>9.4710085342881983E-3</v>
      </c>
      <c r="E19" s="38">
        <v>9.4710085342881983E-3</v>
      </c>
      <c r="F19" s="38">
        <v>9.4710085342881983E-3</v>
      </c>
    </row>
    <row r="20" spans="1:8" ht="15.75" customHeight="1" x14ac:dyDescent="0.25">
      <c r="B20" s="11" t="s">
        <v>87</v>
      </c>
      <c r="C20" s="38">
        <v>3.060338697811155E-2</v>
      </c>
      <c r="D20" s="38">
        <v>3.060338697811155E-2</v>
      </c>
      <c r="E20" s="38">
        <v>3.060338697811155E-2</v>
      </c>
      <c r="F20" s="38">
        <v>3.060338697811155E-2</v>
      </c>
    </row>
    <row r="21" spans="1:8" ht="15.75" customHeight="1" x14ac:dyDescent="0.25">
      <c r="B21" s="11" t="s">
        <v>88</v>
      </c>
      <c r="C21" s="38">
        <v>0.16378983136586209</v>
      </c>
      <c r="D21" s="38">
        <v>0.16378983136586209</v>
      </c>
      <c r="E21" s="38">
        <v>0.16378983136586209</v>
      </c>
      <c r="F21" s="38">
        <v>0.16378983136586209</v>
      </c>
    </row>
    <row r="22" spans="1:8" ht="15.75" customHeight="1" x14ac:dyDescent="0.25">
      <c r="B22" s="11" t="s">
        <v>89</v>
      </c>
      <c r="C22" s="38">
        <v>0.41824600480148089</v>
      </c>
      <c r="D22" s="38">
        <v>0.41824600480148089</v>
      </c>
      <c r="E22" s="38">
        <v>0.41824600480148089</v>
      </c>
      <c r="F22" s="38">
        <v>0.41824600480148089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4.9290206000000003E-2</v>
      </c>
    </row>
    <row r="27" spans="1:8" ht="15.75" customHeight="1" x14ac:dyDescent="0.25">
      <c r="B27" s="11" t="s">
        <v>92</v>
      </c>
      <c r="C27" s="38">
        <v>2.8242382999999999E-2</v>
      </c>
    </row>
    <row r="28" spans="1:8" ht="15.75" customHeight="1" x14ac:dyDescent="0.25">
      <c r="B28" s="11" t="s">
        <v>93</v>
      </c>
      <c r="C28" s="38">
        <v>0.34948395100000001</v>
      </c>
    </row>
    <row r="29" spans="1:8" ht="15.75" customHeight="1" x14ac:dyDescent="0.25">
      <c r="B29" s="11" t="s">
        <v>94</v>
      </c>
      <c r="C29" s="38">
        <v>0.20214362399999999</v>
      </c>
    </row>
    <row r="30" spans="1:8" ht="15.75" customHeight="1" x14ac:dyDescent="0.25">
      <c r="B30" s="11" t="s">
        <v>95</v>
      </c>
      <c r="C30" s="38">
        <v>0.105324062</v>
      </c>
    </row>
    <row r="31" spans="1:8" ht="15.75" customHeight="1" x14ac:dyDescent="0.25">
      <c r="B31" s="11" t="s">
        <v>96</v>
      </c>
      <c r="C31" s="38">
        <v>5.5211837999999999E-2</v>
      </c>
    </row>
    <row r="32" spans="1:8" ht="15.75" customHeight="1" x14ac:dyDescent="0.25">
      <c r="B32" s="11" t="s">
        <v>97</v>
      </c>
      <c r="C32" s="38">
        <v>8.5237639999999996E-3</v>
      </c>
    </row>
    <row r="33" spans="2:3" ht="15.75" customHeight="1" x14ac:dyDescent="0.25">
      <c r="B33" s="11" t="s">
        <v>98</v>
      </c>
      <c r="C33" s="38">
        <v>0.16815316199999999</v>
      </c>
    </row>
    <row r="34" spans="2:3" ht="15.75" customHeight="1" x14ac:dyDescent="0.25">
      <c r="B34" s="11" t="s">
        <v>99</v>
      </c>
      <c r="C34" s="38">
        <v>3.3627008999999999E-2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0.30287646006677471</v>
      </c>
      <c r="D2" s="99">
        <f>IFERROR(1-_xlfn.NORM.DIST(_xlfn.NORM.INV(SUM(D4:D5), 0, 1) + 1, 0, 1, TRUE), "")</f>
        <v>0.30287646006677471</v>
      </c>
      <c r="E2" s="99">
        <f>IFERROR(1-_xlfn.NORM.DIST(_xlfn.NORM.INV(SUM(E4:E5), 0, 1) + 1, 0, 1, TRUE), "")</f>
        <v>0.26872002694585162</v>
      </c>
      <c r="F2" s="99">
        <f>IFERROR(1-_xlfn.NORM.DIST(_xlfn.NORM.INV(SUM(F4:F5), 0, 1) + 1, 0, 1, TRUE), "")</f>
        <v>0.15078539860395579</v>
      </c>
      <c r="G2" s="99">
        <f>IFERROR(1-_xlfn.NORM.DIST(_xlfn.NORM.INV(SUM(G4:G5), 0, 1) + 1, 0, 1, TRUE), "")</f>
        <v>0.16095224386090434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0.38287903864051948</v>
      </c>
      <c r="D3" s="99">
        <f>IFERROR(_xlfn.NORM.DIST(_xlfn.NORM.INV(SUM(D4:D5), 0, 1) + 1, 0, 1, TRUE) - SUM(D4:D5), "")</f>
        <v>0.38287903864051948</v>
      </c>
      <c r="E3" s="99">
        <f>IFERROR(_xlfn.NORM.DIST(_xlfn.NORM.INV(SUM(E4:E5), 0, 1) + 1, 0, 1, TRUE) - SUM(E4:E5), "")</f>
        <v>0.38053547974846536</v>
      </c>
      <c r="F3" s="99">
        <f>IFERROR(_xlfn.NORM.DIST(_xlfn.NORM.INV(SUM(F4:F5), 0, 1) + 1, 0, 1, TRUE) - SUM(F4:F5), "")</f>
        <v>0.33602369117589725</v>
      </c>
      <c r="G3" s="99">
        <f>IFERROR(_xlfn.NORM.DIST(_xlfn.NORM.INV(SUM(G4:G5), 0, 1) + 1, 0, 1, TRUE) - SUM(G4:G5), "")</f>
        <v>0.34281698996191867</v>
      </c>
    </row>
    <row r="4" spans="1:15" ht="15.75" customHeight="1" x14ac:dyDescent="0.25">
      <c r="B4" s="69" t="s">
        <v>104</v>
      </c>
      <c r="C4" s="39">
        <v>0.22817276418209101</v>
      </c>
      <c r="D4" s="39">
        <v>0.22817276418209101</v>
      </c>
      <c r="E4" s="39">
        <v>0.244585171341896</v>
      </c>
      <c r="F4" s="39">
        <v>0.30018362402915999</v>
      </c>
      <c r="G4" s="39">
        <v>0.31933081150054898</v>
      </c>
    </row>
    <row r="5" spans="1:15" ht="15.75" customHeight="1" x14ac:dyDescent="0.25">
      <c r="B5" s="69" t="s">
        <v>105</v>
      </c>
      <c r="C5" s="39">
        <v>8.607173711061479E-2</v>
      </c>
      <c r="D5" s="39">
        <v>8.607173711061479E-2</v>
      </c>
      <c r="E5" s="39">
        <v>0.106159321963787</v>
      </c>
      <c r="F5" s="39">
        <v>0.21300728619098699</v>
      </c>
      <c r="G5" s="39">
        <v>0.176899954676628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0.91001315464798438</v>
      </c>
      <c r="D8" s="99">
        <f>IFERROR(1-_xlfn.NORM.DIST(_xlfn.NORM.INV(SUM(D10:D11), 0, 1) + 1, 0, 1, TRUE), "")</f>
        <v>0.91001315464798438</v>
      </c>
      <c r="E8" s="99">
        <f>IFERROR(1-_xlfn.NORM.DIST(_xlfn.NORM.INV(SUM(E10:E11), 0, 1) + 1, 0, 1, TRUE), "")</f>
        <v>0.91472346747357502</v>
      </c>
      <c r="F8" s="99">
        <f>IFERROR(1-_xlfn.NORM.DIST(_xlfn.NORM.INV(SUM(F10:F11), 0, 1) + 1, 0, 1, TRUE), "")</f>
        <v>0.90238844267638019</v>
      </c>
      <c r="G8" s="99">
        <f>IFERROR(1-_xlfn.NORM.DIST(_xlfn.NORM.INV(SUM(G10:G11), 0, 1) + 1, 0, 1, TRUE), "")</f>
        <v>0.93550168919714294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8.0366538105792557E-2</v>
      </c>
      <c r="D9" s="99">
        <f>IFERROR(_xlfn.NORM.DIST(_xlfn.NORM.INV(SUM(D10:D11), 0, 1) + 1, 0, 1, TRUE) - SUM(D10:D11), "")</f>
        <v>8.0366538105792557E-2</v>
      </c>
      <c r="E9" s="99">
        <f>IFERROR(_xlfn.NORM.DIST(_xlfn.NORM.INV(SUM(E10:E11), 0, 1) + 1, 0, 1, TRUE) - SUM(E10:E11), "")</f>
        <v>7.6392801377753561E-2</v>
      </c>
      <c r="F9" s="99">
        <f>IFERROR(_xlfn.NORM.DIST(_xlfn.NORM.INV(SUM(F10:F11), 0, 1) + 1, 0, 1, TRUE) - SUM(F10:F11), "")</f>
        <v>8.6753060759877973E-2</v>
      </c>
      <c r="G9" s="99">
        <f>IFERROR(_xlfn.NORM.DIST(_xlfn.NORM.INV(SUM(G10:G11), 0, 1) + 1, 0, 1, TRUE) - SUM(G10:G11), "")</f>
        <v>5.859832618048285E-2</v>
      </c>
    </row>
    <row r="10" spans="1:15" ht="15.75" customHeight="1" x14ac:dyDescent="0.25">
      <c r="B10" s="69" t="s">
        <v>109</v>
      </c>
      <c r="C10" s="39">
        <v>7.3384791612625001E-3</v>
      </c>
      <c r="D10" s="39">
        <v>7.3384791612625001E-3</v>
      </c>
      <c r="E10" s="39">
        <v>8.3902142941951995E-3</v>
      </c>
      <c r="F10" s="39">
        <v>1.0378312319517099E-2</v>
      </c>
      <c r="G10" s="39">
        <v>4.1658380068839004E-3</v>
      </c>
    </row>
    <row r="11" spans="1:15" ht="15.75" customHeight="1" x14ac:dyDescent="0.25">
      <c r="B11" s="69" t="s">
        <v>110</v>
      </c>
      <c r="C11" s="39">
        <v>2.2818280849605998E-3</v>
      </c>
      <c r="D11" s="39">
        <v>2.2818280849605998E-3</v>
      </c>
      <c r="E11" s="39">
        <v>4.9351685447620002E-4</v>
      </c>
      <c r="F11" s="39">
        <v>4.8018424422479998E-4</v>
      </c>
      <c r="G11" s="39">
        <v>1.7341466154903E-3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0.66242282200000024</v>
      </c>
      <c r="D14" s="40">
        <v>0.62910825079199995</v>
      </c>
      <c r="E14" s="40">
        <v>0.62910825079199995</v>
      </c>
      <c r="F14" s="40">
        <v>0.35119943787399999</v>
      </c>
      <c r="G14" s="40">
        <v>0.35119943787399999</v>
      </c>
      <c r="H14" s="41">
        <v>0.25</v>
      </c>
      <c r="I14" s="41">
        <v>0.25</v>
      </c>
      <c r="J14" s="41">
        <v>0.25</v>
      </c>
      <c r="K14" s="41">
        <v>0.25</v>
      </c>
      <c r="L14" s="41">
        <v>0.159</v>
      </c>
      <c r="M14" s="41">
        <v>0.159</v>
      </c>
      <c r="N14" s="41">
        <v>0.159</v>
      </c>
      <c r="O14" s="41">
        <v>0.159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0.36478962384718017</v>
      </c>
      <c r="D15" s="99">
        <f t="shared" si="0"/>
        <v>0.34644362262864647</v>
      </c>
      <c r="E15" s="99">
        <f t="shared" si="0"/>
        <v>0.34644362262864647</v>
      </c>
      <c r="F15" s="99">
        <f t="shared" si="0"/>
        <v>0.19340201844283306</v>
      </c>
      <c r="G15" s="99">
        <f t="shared" si="0"/>
        <v>0.19340201844283306</v>
      </c>
      <c r="H15" s="99">
        <f t="shared" si="0"/>
        <v>0.1376725</v>
      </c>
      <c r="I15" s="99">
        <f t="shared" si="0"/>
        <v>0.1376725</v>
      </c>
      <c r="J15" s="99">
        <f t="shared" si="0"/>
        <v>0.1376725</v>
      </c>
      <c r="K15" s="99">
        <f t="shared" si="0"/>
        <v>0.1376725</v>
      </c>
      <c r="L15" s="99">
        <f t="shared" si="0"/>
        <v>8.7559709999999999E-2</v>
      </c>
      <c r="M15" s="99">
        <f t="shared" si="0"/>
        <v>8.7559709999999999E-2</v>
      </c>
      <c r="N15" s="99">
        <f t="shared" si="0"/>
        <v>8.7559709999999999E-2</v>
      </c>
      <c r="O15" s="99">
        <f t="shared" si="0"/>
        <v>8.7559709999999999E-2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0.63745838403701804</v>
      </c>
      <c r="D2" s="39">
        <v>0.51996969999999998</v>
      </c>
      <c r="E2" s="39"/>
      <c r="F2" s="39"/>
      <c r="G2" s="39"/>
    </row>
    <row r="3" spans="1:7" x14ac:dyDescent="0.25">
      <c r="B3" s="78" t="s">
        <v>120</v>
      </c>
      <c r="C3" s="39">
        <v>0.13529306650161699</v>
      </c>
      <c r="D3" s="39">
        <v>0.1694263</v>
      </c>
      <c r="E3" s="39"/>
      <c r="F3" s="39"/>
      <c r="G3" s="39"/>
    </row>
    <row r="4" spans="1:7" x14ac:dyDescent="0.25">
      <c r="B4" s="78" t="s">
        <v>121</v>
      </c>
      <c r="C4" s="39">
        <v>0.191281378269196</v>
      </c>
      <c r="D4" s="39">
        <v>0.25796720000000001</v>
      </c>
      <c r="E4" s="39">
        <v>0.90781038999557495</v>
      </c>
      <c r="F4" s="39">
        <v>0.72040623426437411</v>
      </c>
      <c r="G4" s="39"/>
    </row>
    <row r="5" spans="1:7" x14ac:dyDescent="0.25">
      <c r="B5" s="78" t="s">
        <v>122</v>
      </c>
      <c r="C5" s="100">
        <v>3.5967156291008003E-2</v>
      </c>
      <c r="D5" s="100">
        <v>5.26368170976639E-2</v>
      </c>
      <c r="E5" s="100">
        <f>1-E2-E3-E4</f>
        <v>9.2189610004425049E-2</v>
      </c>
      <c r="F5" s="100">
        <f>1-F2-F3-F4</f>
        <v>0.27959376573562589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2023-01-25T03:23:51Z</dcterms:modified>
</cp:coreProperties>
</file>