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EFDE2B1-ECB2-4DAA-8188-CDEFE1E1B932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<sst xmlns="http://schemas.openxmlformats.org/spreadsheetml/2006/main" count="2093" uniqueCount="337">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</sst>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243924.744140625</v>
      </c>
    </row>
    <row r="8" spans="1:3" ht="15" customHeight="1" x14ac:dyDescent="0.25">
      <c r="B8" s="69" t="s">
        <v>8</v>
      </c>
      <c r="C8" s="32">
        <v>1.7000000000000001E-2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0.77384170532226604</v>
      </c>
    </row>
    <row r="11" spans="1:3" ht="15" customHeight="1" x14ac:dyDescent="0.25">
      <c r="B11" s="69" t="s">
        <v>11</v>
      </c>
      <c r="C11" s="32">
        <v>0.85599999999999998</v>
      </c>
    </row>
    <row r="12" spans="1:3" ht="15" customHeight="1" x14ac:dyDescent="0.25">
      <c r="B12" s="69" t="s">
        <v>12</v>
      </c>
      <c r="C12" s="32">
        <v>0.82299999999999995</v>
      </c>
    </row>
    <row r="13" spans="1:3" ht="15" customHeight="1" x14ac:dyDescent="0.25">
      <c r="B13" s="69" t="s">
        <v>13</v>
      </c>
      <c r="C13" s="32">
        <v>0.17100000000000001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0.13569999999999999</v>
      </c>
    </row>
    <row r="24" spans="1:3" ht="15" customHeight="1" x14ac:dyDescent="0.25">
      <c r="B24" s="7" t="s">
        <v>22</v>
      </c>
      <c r="C24" s="33">
        <v>0.52159999999999995</v>
      </c>
    </row>
    <row r="25" spans="1:3" ht="15" customHeight="1" x14ac:dyDescent="0.25">
      <c r="B25" s="7" t="s">
        <v>23</v>
      </c>
      <c r="C25" s="33">
        <v>0.31040000000000001</v>
      </c>
    </row>
    <row r="26" spans="1:3" ht="15" customHeight="1" x14ac:dyDescent="0.25">
      <c r="B26" s="7" t="s">
        <v>24</v>
      </c>
      <c r="C26" s="33">
        <v>3.2300000000000002E-2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9.8257063631263097</v>
      </c>
    </row>
    <row r="38" spans="1:5" ht="15" customHeight="1" x14ac:dyDescent="0.25">
      <c r="B38" s="65" t="s">
        <v>34</v>
      </c>
      <c r="C38" s="94">
        <v>11.925871580367801</v>
      </c>
      <c r="D38" s="5"/>
      <c r="E38" s="6"/>
    </row>
    <row r="39" spans="1:5" ht="15" customHeight="1" x14ac:dyDescent="0.25">
      <c r="B39" s="65" t="s">
        <v>35</v>
      </c>
      <c r="C39" s="94">
        <v>13.8548530156735</v>
      </c>
      <c r="D39" s="5"/>
      <c r="E39" s="5"/>
    </row>
    <row r="40" spans="1:5" ht="15" customHeight="1" x14ac:dyDescent="0.25">
      <c r="B40" s="65" t="s">
        <v>36</v>
      </c>
      <c r="C40" s="94">
        <v>0.8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12.680444530000001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2.1440299999999999E-2</v>
      </c>
      <c r="D45" s="5"/>
    </row>
    <row r="46" spans="1:5" ht="15.75" customHeight="1" x14ac:dyDescent="0.25">
      <c r="B46" s="65" t="s">
        <v>41</v>
      </c>
      <c r="C46" s="33">
        <v>8.0866799999999989E-2</v>
      </c>
      <c r="D46" s="5"/>
    </row>
    <row r="47" spans="1:5" ht="15.75" customHeight="1" x14ac:dyDescent="0.25">
      <c r="B47" s="65" t="s">
        <v>42</v>
      </c>
      <c r="C47" s="33">
        <v>0.159775</v>
      </c>
      <c r="D47" s="5"/>
      <c r="E47" s="6"/>
    </row>
    <row r="48" spans="1:5" ht="15" customHeight="1" x14ac:dyDescent="0.25">
      <c r="B48" s="65" t="s">
        <v>43</v>
      </c>
      <c r="C48" s="97">
        <v>0.73791790000000002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0.55565200000000003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0.14582914999999999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0.663370532181352</v>
      </c>
      <c r="C2" s="43">
        <v>0.95</v>
      </c>
      <c r="D2" s="86">
        <v>62.714780124614677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39.985147042964151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487.85757913726337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1.6380998871193979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0.20556326029810901</v>
      </c>
      <c r="C10" s="43">
        <v>0.95</v>
      </c>
      <c r="D10" s="86">
        <v>13.117446486760061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0.20556326029810901</v>
      </c>
      <c r="C11" s="43">
        <v>0.95</v>
      </c>
      <c r="D11" s="86">
        <v>13.117446486760061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0.20556326029810901</v>
      </c>
      <c r="C12" s="43">
        <v>0.95</v>
      </c>
      <c r="D12" s="86">
        <v>13.117446486760061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0.20556326029810901</v>
      </c>
      <c r="C13" s="43">
        <v>0.95</v>
      </c>
      <c r="D13" s="86">
        <v>13.117446486760061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0.20556326029810901</v>
      </c>
      <c r="C14" s="43">
        <v>0.95</v>
      </c>
      <c r="D14" s="86">
        <v>13.117446486760061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0.20556326029810901</v>
      </c>
      <c r="C15" s="43">
        <v>0.95</v>
      </c>
      <c r="D15" s="86">
        <v>13.117446486760061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0.82421228665541357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11.224756739744929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11.224756739744929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0.98556149999999998</v>
      </c>
      <c r="C21" s="43">
        <v>0.95</v>
      </c>
      <c r="D21" s="86">
        <v>16.982553632802741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22.691717425670902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4.3451295640787793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0.24912925040850001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0.16032650296655901</v>
      </c>
      <c r="C27" s="43">
        <v>0.95</v>
      </c>
      <c r="D27" s="86">
        <v>18.676662605887799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0.87312600170610299</v>
      </c>
      <c r="C29" s="43">
        <v>0.95</v>
      </c>
      <c r="D29" s="86">
        <v>124.34168065842491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0.50502277771952597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3.5551428789999999E-2</v>
      </c>
      <c r="C32" s="43">
        <v>0.95</v>
      </c>
      <c r="D32" s="86">
        <v>1.780535588985835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0.28231877088546697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1.723279552412311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0.83826396797257596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7.4863641746676382E-2</v>
      </c>
      <c r="C3" s="13">
        <f>frac_mam_1_5months * 2.6</f>
        <v>7.4863641746676382E-2</v>
      </c>
      <c r="D3" s="13">
        <f>frac_mam_6_11months * 2.6</f>
        <v>6.9755741869406848E-2</v>
      </c>
      <c r="E3" s="13">
        <f>frac_mam_12_23months * 2.6</f>
        <v>4.5638841189607905E-2</v>
      </c>
      <c r="F3" s="13">
        <f>frac_mam_24_59months * 2.6</f>
        <v>3.388538172207084E-2</v>
      </c>
    </row>
    <row r="4" spans="1:6" ht="15.75" customHeight="1" x14ac:dyDescent="0.25">
      <c r="A4" s="78" t="s">
        <v>204</v>
      </c>
      <c r="B4" s="13">
        <f>frac_sam_1month * 2.6</f>
        <v>4.4444193491540697E-2</v>
      </c>
      <c r="C4" s="13">
        <f>frac_sam_1_5months * 2.6</f>
        <v>4.4444193491540697E-2</v>
      </c>
      <c r="D4" s="13">
        <f>frac_sam_6_11months * 2.6</f>
        <v>2.6641044035594041E-2</v>
      </c>
      <c r="E4" s="13">
        <f>frac_sam_12_23months * 2.6</f>
        <v>1.8187397235948099E-2</v>
      </c>
      <c r="F4" s="13">
        <f>frac_sam_24_59months * 2.6</f>
        <v>1.1642928732624853E-2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1.7000000000000001E-2</v>
      </c>
      <c r="E2" s="47">
        <f>food_insecure</f>
        <v>1.7000000000000001E-2</v>
      </c>
      <c r="F2" s="47">
        <f>food_insecure</f>
        <v>1.7000000000000001E-2</v>
      </c>
      <c r="G2" s="47">
        <f>food_insecure</f>
        <v>1.7000000000000001E-2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1.7000000000000001E-2</v>
      </c>
      <c r="F5" s="47">
        <f>food_insecure</f>
        <v>1.7000000000000001E-2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1.7000000000000001E-2</v>
      </c>
      <c r="F8" s="47">
        <f>food_insecure</f>
        <v>1.7000000000000001E-2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1.7000000000000001E-2</v>
      </c>
      <c r="F9" s="47">
        <f>food_insecure</f>
        <v>1.7000000000000001E-2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0.82299999999999995</v>
      </c>
      <c r="E10" s="47">
        <f>IF(ISBLANK(comm_deliv), frac_children_health_facility,1)</f>
        <v>0.82299999999999995</v>
      </c>
      <c r="F10" s="47">
        <f>IF(ISBLANK(comm_deliv), frac_children_health_facility,1)</f>
        <v>0.82299999999999995</v>
      </c>
      <c r="G10" s="47">
        <f>IF(ISBLANK(comm_deliv), frac_children_health_facility,1)</f>
        <v>0.82299999999999995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1.7000000000000001E-2</v>
      </c>
      <c r="I15" s="47">
        <f>food_insecure</f>
        <v>1.7000000000000001E-2</v>
      </c>
      <c r="J15" s="47">
        <f>food_insecure</f>
        <v>1.7000000000000001E-2</v>
      </c>
      <c r="K15" s="47">
        <f>food_insecure</f>
        <v>1.7000000000000001E-2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0.85599999999999998</v>
      </c>
      <c r="I18" s="47">
        <f>frac_PW_health_facility</f>
        <v>0.85599999999999998</v>
      </c>
      <c r="J18" s="47">
        <f>frac_PW_health_facility</f>
        <v>0.85599999999999998</v>
      </c>
      <c r="K18" s="47">
        <f>frac_PW_health_facility</f>
        <v>0.85599999999999998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0.17100000000000001</v>
      </c>
      <c r="M24" s="47">
        <f>famplan_unmet_need</f>
        <v>0.17100000000000001</v>
      </c>
      <c r="N24" s="47">
        <f>famplan_unmet_need</f>
        <v>0.17100000000000001</v>
      </c>
      <c r="O24" s="47">
        <f>famplan_unmet_need</f>
        <v>0.17100000000000001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0.11162494950408915</v>
      </c>
      <c r="M25" s="47">
        <f>(1-food_insecure)*(0.49)+food_insecure*(0.7)</f>
        <v>0.49357000000000001</v>
      </c>
      <c r="N25" s="47">
        <f>(1-food_insecure)*(0.49)+food_insecure*(0.7)</f>
        <v>0.49357000000000001</v>
      </c>
      <c r="O25" s="47">
        <f>(1-food_insecure)*(0.49)+food_insecure*(0.7)</f>
        <v>0.49357000000000001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4.7839264073181065E-2</v>
      </c>
      <c r="M26" s="47">
        <f>(1-food_insecure)*(0.21)+food_insecure*(0.3)</f>
        <v>0.21153</v>
      </c>
      <c r="N26" s="47">
        <f>(1-food_insecure)*(0.21)+food_insecure*(0.3)</f>
        <v>0.21153</v>
      </c>
      <c r="O26" s="47">
        <f>(1-food_insecure)*(0.21)+food_insecure*(0.3)</f>
        <v>0.21153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6.6694081100463751E-2</v>
      </c>
      <c r="M27" s="47">
        <f>(1-food_insecure)*(0.3)</f>
        <v>0.2949</v>
      </c>
      <c r="N27" s="47">
        <f>(1-food_insecure)*(0.3)</f>
        <v>0.2949</v>
      </c>
      <c r="O27" s="47">
        <f>(1-food_insecure)*(0.3)</f>
        <v>0.2949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0.77384170532226604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44954.3514</v>
      </c>
      <c r="C2" s="37">
        <v>110000</v>
      </c>
      <c r="D2" s="37">
        <v>245000</v>
      </c>
      <c r="E2" s="37">
        <v>222000</v>
      </c>
      <c r="F2" s="37">
        <v>183000</v>
      </c>
      <c r="G2" s="9">
        <f t="shared" ref="G2:G40" si="0">C2+D2+E2+F2</f>
        <v>760000</v>
      </c>
      <c r="H2" s="9">
        <f t="shared" ref="H2:H40" si="1">(B2 + stillbirth*B2/(1000-stillbirth))/(1-abortion)</f>
        <v>51740.583830485004</v>
      </c>
      <c r="I2" s="9">
        <f t="shared" ref="I2:I40" si="2">G2-H2</f>
        <v>708259.416169515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44135.440799999997</v>
      </c>
      <c r="C3" s="37">
        <v>108000</v>
      </c>
      <c r="D3" s="37">
        <v>240000</v>
      </c>
      <c r="E3" s="37">
        <v>224000</v>
      </c>
      <c r="F3" s="37">
        <v>185000</v>
      </c>
      <c r="G3" s="9">
        <f t="shared" si="0"/>
        <v>757000</v>
      </c>
      <c r="H3" s="9">
        <f t="shared" si="1"/>
        <v>50798.051879084793</v>
      </c>
      <c r="I3" s="9">
        <f t="shared" si="2"/>
        <v>706201.94812091521</v>
      </c>
    </row>
    <row r="4" spans="1:9" ht="15.75" customHeight="1" x14ac:dyDescent="0.25">
      <c r="A4" s="69">
        <f t="shared" si="3"/>
        <v>2023</v>
      </c>
      <c r="B4" s="36">
        <v>43298.678399999997</v>
      </c>
      <c r="C4" s="37">
        <v>106000</v>
      </c>
      <c r="D4" s="37">
        <v>234000</v>
      </c>
      <c r="E4" s="37">
        <v>224000</v>
      </c>
      <c r="F4" s="37">
        <v>188000</v>
      </c>
      <c r="G4" s="9">
        <f t="shared" si="0"/>
        <v>752000</v>
      </c>
      <c r="H4" s="9">
        <f t="shared" si="1"/>
        <v>49834.973250318333</v>
      </c>
      <c r="I4" s="9">
        <f t="shared" si="2"/>
        <v>702165.02674968168</v>
      </c>
    </row>
    <row r="5" spans="1:9" ht="15.75" customHeight="1" x14ac:dyDescent="0.25">
      <c r="A5" s="69">
        <f t="shared" si="3"/>
        <v>2024</v>
      </c>
      <c r="B5" s="36">
        <v>42459.464800000002</v>
      </c>
      <c r="C5" s="37">
        <v>105000</v>
      </c>
      <c r="D5" s="37">
        <v>228000</v>
      </c>
      <c r="E5" s="37">
        <v>226000</v>
      </c>
      <c r="F5" s="37">
        <v>191000</v>
      </c>
      <c r="G5" s="9">
        <f t="shared" si="0"/>
        <v>750000</v>
      </c>
      <c r="H5" s="9">
        <f t="shared" si="1"/>
        <v>48869.073392568789</v>
      </c>
      <c r="I5" s="9">
        <f t="shared" si="2"/>
        <v>701130.92660743126</v>
      </c>
    </row>
    <row r="6" spans="1:9" ht="15.75" customHeight="1" x14ac:dyDescent="0.25">
      <c r="A6" s="69">
        <f t="shared" si="3"/>
        <v>2025</v>
      </c>
      <c r="B6" s="36">
        <v>41589.449999999997</v>
      </c>
      <c r="C6" s="37">
        <v>104000</v>
      </c>
      <c r="D6" s="37">
        <v>221000</v>
      </c>
      <c r="E6" s="37">
        <v>225000</v>
      </c>
      <c r="F6" s="37">
        <v>193000</v>
      </c>
      <c r="G6" s="9">
        <f t="shared" si="0"/>
        <v>743000</v>
      </c>
      <c r="H6" s="9">
        <f t="shared" si="1"/>
        <v>47867.722638052888</v>
      </c>
      <c r="I6" s="9">
        <f t="shared" si="2"/>
        <v>695132.27736194711</v>
      </c>
    </row>
    <row r="7" spans="1:9" ht="15.75" customHeight="1" x14ac:dyDescent="0.25">
      <c r="A7" s="69">
        <f t="shared" si="3"/>
        <v>2026</v>
      </c>
      <c r="B7" s="36">
        <v>40740.523200000003</v>
      </c>
      <c r="C7" s="37">
        <v>101000</v>
      </c>
      <c r="D7" s="37">
        <v>214000</v>
      </c>
      <c r="E7" s="37">
        <v>226000</v>
      </c>
      <c r="F7" s="37">
        <v>197000</v>
      </c>
      <c r="G7" s="9">
        <f t="shared" si="0"/>
        <v>738000</v>
      </c>
      <c r="H7" s="9">
        <f t="shared" si="1"/>
        <v>46890.643292151239</v>
      </c>
      <c r="I7" s="9">
        <f t="shared" si="2"/>
        <v>691109.35670784872</v>
      </c>
    </row>
    <row r="8" spans="1:9" ht="15.75" customHeight="1" x14ac:dyDescent="0.25">
      <c r="A8" s="69">
        <f t="shared" si="3"/>
        <v>2027</v>
      </c>
      <c r="B8" s="36">
        <v>39863.246400000004</v>
      </c>
      <c r="C8" s="37">
        <v>98000</v>
      </c>
      <c r="D8" s="37">
        <v>208000</v>
      </c>
      <c r="E8" s="37">
        <v>227000</v>
      </c>
      <c r="F8" s="37">
        <v>198000</v>
      </c>
      <c r="G8" s="9">
        <f t="shared" si="0"/>
        <v>731000</v>
      </c>
      <c r="H8" s="9">
        <f t="shared" si="1"/>
        <v>45880.934278466302</v>
      </c>
      <c r="I8" s="9">
        <f t="shared" si="2"/>
        <v>685119.06572153373</v>
      </c>
    </row>
    <row r="9" spans="1:9" ht="15.75" customHeight="1" x14ac:dyDescent="0.25">
      <c r="A9" s="69">
        <f t="shared" si="3"/>
        <v>2028</v>
      </c>
      <c r="B9" s="36">
        <v>38985.969599999997</v>
      </c>
      <c r="C9" s="37">
        <v>95000</v>
      </c>
      <c r="D9" s="37">
        <v>202000</v>
      </c>
      <c r="E9" s="37">
        <v>226000</v>
      </c>
      <c r="F9" s="37">
        <v>201000</v>
      </c>
      <c r="G9" s="9">
        <f t="shared" si="0"/>
        <v>724000</v>
      </c>
      <c r="H9" s="9">
        <f t="shared" si="1"/>
        <v>44871.225264781373</v>
      </c>
      <c r="I9" s="9">
        <f t="shared" si="2"/>
        <v>679128.77473521861</v>
      </c>
    </row>
    <row r="10" spans="1:9" ht="15.75" customHeight="1" x14ac:dyDescent="0.25">
      <c r="A10" s="69">
        <f t="shared" si="3"/>
        <v>2029</v>
      </c>
      <c r="B10" s="36">
        <v>38095.713000000003</v>
      </c>
      <c r="C10" s="37">
        <v>93000</v>
      </c>
      <c r="D10" s="37">
        <v>196000</v>
      </c>
      <c r="E10" s="37">
        <v>225000</v>
      </c>
      <c r="F10" s="37">
        <v>203000</v>
      </c>
      <c r="G10" s="9">
        <f t="shared" si="0"/>
        <v>717000</v>
      </c>
      <c r="H10" s="9">
        <f t="shared" si="1"/>
        <v>43846.577042564066</v>
      </c>
      <c r="I10" s="9">
        <f t="shared" si="2"/>
        <v>673153.42295743595</v>
      </c>
    </row>
    <row r="11" spans="1:9" ht="15.75" customHeight="1" x14ac:dyDescent="0.25">
      <c r="A11" s="69">
        <f t="shared" si="3"/>
        <v>2030</v>
      </c>
      <c r="B11" s="36">
        <v>37193.373</v>
      </c>
      <c r="C11" s="37">
        <v>93000</v>
      </c>
      <c r="D11" s="37">
        <v>190000</v>
      </c>
      <c r="E11" s="37">
        <v>222000</v>
      </c>
      <c r="F11" s="37">
        <v>205000</v>
      </c>
      <c r="G11" s="9">
        <f t="shared" si="0"/>
        <v>710000</v>
      </c>
      <c r="H11" s="9">
        <f t="shared" si="1"/>
        <v>42808.021330833784</v>
      </c>
      <c r="I11" s="9">
        <f t="shared" si="2"/>
        <v>667191.97866916622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2969472.4120221948</v>
      </c>
      <c r="I12" s="9">
        <f t="shared" si="2"/>
        <v>15614196.587977804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3027020.3269838654</v>
      </c>
      <c r="I13" s="9">
        <f t="shared" si="2"/>
        <v>16147559.673016135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3096077.8249378698</v>
      </c>
      <c r="I14" s="9">
        <f t="shared" si="2"/>
        <v>16680178.175062131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3153625.7398995403</v>
      </c>
      <c r="I15" s="9">
        <f t="shared" si="2"/>
        <v>17233102.260100462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0.1226077580692773</v>
      </c>
    </row>
    <row r="5" spans="1:8" ht="15.75" customHeight="1" x14ac:dyDescent="0.25">
      <c r="B5" s="11" t="s">
        <v>70</v>
      </c>
      <c r="C5" s="38">
        <v>2.5395329614007148E-2</v>
      </c>
    </row>
    <row r="6" spans="1:8" ht="15.75" customHeight="1" x14ac:dyDescent="0.25">
      <c r="B6" s="11" t="s">
        <v>71</v>
      </c>
      <c r="C6" s="38">
        <v>0.1502841983793031</v>
      </c>
    </row>
    <row r="7" spans="1:8" ht="15.75" customHeight="1" x14ac:dyDescent="0.25">
      <c r="B7" s="11" t="s">
        <v>72</v>
      </c>
      <c r="C7" s="38">
        <v>0.52967285218759075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0.1324440963648216</v>
      </c>
    </row>
    <row r="10" spans="1:8" ht="15.75" customHeight="1" x14ac:dyDescent="0.25">
      <c r="B10" s="11" t="s">
        <v>75</v>
      </c>
      <c r="C10" s="38">
        <v>3.9595765385000183E-2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4.4275455884463411E-2</v>
      </c>
      <c r="D14" s="38">
        <v>4.4275455884463411E-2</v>
      </c>
      <c r="E14" s="38">
        <v>4.4275455884463411E-2</v>
      </c>
      <c r="F14" s="38">
        <v>4.4275455884463411E-2</v>
      </c>
    </row>
    <row r="15" spans="1:8" ht="15.75" customHeight="1" x14ac:dyDescent="0.25">
      <c r="B15" s="11" t="s">
        <v>82</v>
      </c>
      <c r="C15" s="38">
        <v>8.4056259517005377E-2</v>
      </c>
      <c r="D15" s="38">
        <v>8.4056259517005377E-2</v>
      </c>
      <c r="E15" s="38">
        <v>8.4056259517005377E-2</v>
      </c>
      <c r="F15" s="38">
        <v>8.4056259517005377E-2</v>
      </c>
    </row>
    <row r="16" spans="1:8" ht="15.75" customHeight="1" x14ac:dyDescent="0.25">
      <c r="B16" s="11" t="s">
        <v>83</v>
      </c>
      <c r="C16" s="38">
        <v>8.9902894929537926E-3</v>
      </c>
      <c r="D16" s="38">
        <v>8.9902894929537926E-3</v>
      </c>
      <c r="E16" s="38">
        <v>8.9902894929537926E-3</v>
      </c>
      <c r="F16" s="38">
        <v>8.9902894929537926E-3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3.1473999141456453E-2</v>
      </c>
      <c r="D19" s="38">
        <v>3.1473999141456453E-2</v>
      </c>
      <c r="E19" s="38">
        <v>3.1473999141456453E-2</v>
      </c>
      <c r="F19" s="38">
        <v>3.1473999141456453E-2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3.0167311210068021E-2</v>
      </c>
      <c r="D21" s="38">
        <v>3.0167311210068021E-2</v>
      </c>
      <c r="E21" s="38">
        <v>3.0167311210068021E-2</v>
      </c>
      <c r="F21" s="38">
        <v>3.0167311210068021E-2</v>
      </c>
    </row>
    <row r="22" spans="1:8" ht="15.75" customHeight="1" x14ac:dyDescent="0.25">
      <c r="B22" s="11" t="s">
        <v>89</v>
      </c>
      <c r="C22" s="38">
        <v>0.80103668475405299</v>
      </c>
      <c r="D22" s="38">
        <v>0.80103668475405299</v>
      </c>
      <c r="E22" s="38">
        <v>0.80103668475405299</v>
      </c>
      <c r="F22" s="38">
        <v>0.80103668475405299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2.9141097000000001E-2</v>
      </c>
    </row>
    <row r="27" spans="1:8" ht="15.75" customHeight="1" x14ac:dyDescent="0.25">
      <c r="B27" s="11" t="s">
        <v>92</v>
      </c>
      <c r="C27" s="38">
        <v>1.0659604E-2</v>
      </c>
    </row>
    <row r="28" spans="1:8" ht="15.75" customHeight="1" x14ac:dyDescent="0.25">
      <c r="B28" s="11" t="s">
        <v>93</v>
      </c>
      <c r="C28" s="38">
        <v>5.3942014000000003E-2</v>
      </c>
    </row>
    <row r="29" spans="1:8" ht="15.75" customHeight="1" x14ac:dyDescent="0.25">
      <c r="B29" s="11" t="s">
        <v>94</v>
      </c>
      <c r="C29" s="38">
        <v>0.132460157</v>
      </c>
    </row>
    <row r="30" spans="1:8" ht="15.75" customHeight="1" x14ac:dyDescent="0.25">
      <c r="B30" s="11" t="s">
        <v>95</v>
      </c>
      <c r="C30" s="38">
        <v>4.2099428000000001E-2</v>
      </c>
    </row>
    <row r="31" spans="1:8" ht="15.75" customHeight="1" x14ac:dyDescent="0.25">
      <c r="B31" s="11" t="s">
        <v>96</v>
      </c>
      <c r="C31" s="38">
        <v>9.6696056000000002E-2</v>
      </c>
    </row>
    <row r="32" spans="1:8" ht="15.75" customHeight="1" x14ac:dyDescent="0.25">
      <c r="B32" s="11" t="s">
        <v>97</v>
      </c>
      <c r="C32" s="38">
        <v>6.3757143000000002E-2</v>
      </c>
    </row>
    <row r="33" spans="2:3" ht="15.75" customHeight="1" x14ac:dyDescent="0.25">
      <c r="B33" s="11" t="s">
        <v>98</v>
      </c>
      <c r="C33" s="38">
        <v>0.12090500699999999</v>
      </c>
    </row>
    <row r="34" spans="2:3" ht="15.75" customHeight="1" x14ac:dyDescent="0.25">
      <c r="B34" s="11" t="s">
        <v>99</v>
      </c>
      <c r="C34" s="38">
        <v>0.45033949200000001</v>
      </c>
    </row>
    <row r="35" spans="2:3" ht="15.75" customHeight="1" x14ac:dyDescent="0.25">
      <c r="B35" s="16" t="s">
        <v>30</v>
      </c>
      <c r="C35" s="98">
        <f>SUM(C26:C34)</f>
        <v>0.99999999799999995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0.57407130512757754</v>
      </c>
      <c r="D2" s="99">
        <f>IFERROR(1-_xlfn.NORM.DIST(_xlfn.NORM.INV(SUM(D4:D5), 0, 1) + 1, 0, 1, TRUE), "")</f>
        <v>0.57407130512757754</v>
      </c>
      <c r="E2" s="99">
        <f>IFERROR(1-_xlfn.NORM.DIST(_xlfn.NORM.INV(SUM(E4:E5), 0, 1) + 1, 0, 1, TRUE), "")</f>
        <v>0.54700007270029372</v>
      </c>
      <c r="F2" s="99">
        <f>IFERROR(1-_xlfn.NORM.DIST(_xlfn.NORM.INV(SUM(F4:F5), 0, 1) + 1, 0, 1, TRUE), "")</f>
        <v>0.39873837196518114</v>
      </c>
      <c r="G2" s="99">
        <f>IFERROR(1-_xlfn.NORM.DIST(_xlfn.NORM.INV(SUM(G4:G5), 0, 1) + 1, 0, 1, TRUE), "")</f>
        <v>0.40761746028673129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0.30826538590222607</v>
      </c>
      <c r="D3" s="99">
        <f>IFERROR(_xlfn.NORM.DIST(_xlfn.NORM.INV(SUM(D4:D5), 0, 1) + 1, 0, 1, TRUE) - SUM(D4:D5), "")</f>
        <v>0.30826538590222607</v>
      </c>
      <c r="E3" s="99">
        <f>IFERROR(_xlfn.NORM.DIST(_xlfn.NORM.INV(SUM(E4:E5), 0, 1) + 1, 0, 1, TRUE) - SUM(E4:E5), "")</f>
        <v>0.32123470354530753</v>
      </c>
      <c r="F3" s="99">
        <f>IFERROR(_xlfn.NORM.DIST(_xlfn.NORM.INV(SUM(F4:F5), 0, 1) + 1, 0, 1, TRUE) - SUM(F4:F5), "")</f>
        <v>0.37263761030032166</v>
      </c>
      <c r="G3" s="99">
        <f>IFERROR(_xlfn.NORM.DIST(_xlfn.NORM.INV(SUM(G4:G5), 0, 1) + 1, 0, 1, TRUE) - SUM(G4:G5), "")</f>
        <v>0.37064015583398641</v>
      </c>
    </row>
    <row r="4" spans="1:15" ht="15.75" customHeight="1" x14ac:dyDescent="0.25">
      <c r="B4" s="69" t="s">
        <v>104</v>
      </c>
      <c r="C4" s="39">
        <v>7.7066712124662401E-2</v>
      </c>
      <c r="D4" s="39">
        <v>7.7066712124662401E-2</v>
      </c>
      <c r="E4" s="39">
        <v>9.6537371135483094E-2</v>
      </c>
      <c r="F4" s="39">
        <v>0.154515657154602</v>
      </c>
      <c r="G4" s="39">
        <v>0.1536915783434</v>
      </c>
    </row>
    <row r="5" spans="1:15" ht="15.75" customHeight="1" x14ac:dyDescent="0.25">
      <c r="B5" s="69" t="s">
        <v>105</v>
      </c>
      <c r="C5" s="39">
        <v>4.0596596845534003E-2</v>
      </c>
      <c r="D5" s="39">
        <v>4.0596596845534003E-2</v>
      </c>
      <c r="E5" s="39">
        <v>3.52278526189157E-2</v>
      </c>
      <c r="F5" s="39">
        <v>7.4108360579895199E-2</v>
      </c>
      <c r="G5" s="39">
        <v>6.8050805535882303E-2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0.75367707358044445</v>
      </c>
      <c r="D8" s="99">
        <f>IFERROR(1-_xlfn.NORM.DIST(_xlfn.NORM.INV(SUM(D10:D11), 0, 1) + 1, 0, 1, TRUE), "")</f>
        <v>0.75367707358044445</v>
      </c>
      <c r="E8" s="99">
        <f>IFERROR(1-_xlfn.NORM.DIST(_xlfn.NORM.INV(SUM(E10:E11), 0, 1) + 1, 0, 1, TRUE), "")</f>
        <v>0.78397198700179249</v>
      </c>
      <c r="F8" s="99">
        <f>IFERROR(1-_xlfn.NORM.DIST(_xlfn.NORM.INV(SUM(F10:F11), 0, 1) + 1, 0, 1, TRUE), "")</f>
        <v>0.83341473595774673</v>
      </c>
      <c r="G8" s="99">
        <f>IFERROR(1-_xlfn.NORM.DIST(_xlfn.NORM.INV(SUM(G10:G11), 0, 1) + 1, 0, 1, TRUE), "")</f>
        <v>0.86609209058222447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0.20043529748177974</v>
      </c>
      <c r="D9" s="99">
        <f>IFERROR(_xlfn.NORM.DIST(_xlfn.NORM.INV(SUM(D10:D11), 0, 1) + 1, 0, 1, TRUE) - SUM(D10:D11), "")</f>
        <v>0.20043529748177974</v>
      </c>
      <c r="E9" s="99">
        <f>IFERROR(_xlfn.NORM.DIST(_xlfn.NORM.INV(SUM(E10:E11), 0, 1) + 1, 0, 1, TRUE) - SUM(E10:E11), "")</f>
        <v>0.17895232611166867</v>
      </c>
      <c r="F9" s="99">
        <f>IFERROR(_xlfn.NORM.DIST(_xlfn.NORM.INV(SUM(F10:F11), 0, 1) + 1, 0, 1, TRUE) - SUM(F10:F11), "")</f>
        <v>0.14203671080165478</v>
      </c>
      <c r="G9" s="99">
        <f>IFERROR(_xlfn.NORM.DIST(_xlfn.NORM.INV(SUM(G10:G11), 0, 1) + 1, 0, 1, TRUE) - SUM(G10:G11), "")</f>
        <v>0.11639702078135408</v>
      </c>
    </row>
    <row r="10" spans="1:15" ht="15.75" customHeight="1" x14ac:dyDescent="0.25">
      <c r="B10" s="69" t="s">
        <v>109</v>
      </c>
      <c r="C10" s="39">
        <v>2.8793708364106298E-2</v>
      </c>
      <c r="D10" s="39">
        <v>2.8793708364106298E-2</v>
      </c>
      <c r="E10" s="39">
        <v>2.6829131488233401E-2</v>
      </c>
      <c r="F10" s="39">
        <v>1.7553400457541501E-2</v>
      </c>
      <c r="G10" s="39">
        <v>1.30328391238734E-2</v>
      </c>
    </row>
    <row r="11" spans="1:15" ht="15.75" customHeight="1" x14ac:dyDescent="0.25">
      <c r="B11" s="69" t="s">
        <v>110</v>
      </c>
      <c r="C11" s="39">
        <v>1.7093920573669499E-2</v>
      </c>
      <c r="D11" s="39">
        <v>1.7093920573669499E-2</v>
      </c>
      <c r="E11" s="39">
        <v>1.02465553983054E-2</v>
      </c>
      <c r="F11" s="39">
        <v>6.9951527830569614E-3</v>
      </c>
      <c r="G11" s="39">
        <v>4.4780495125480201E-3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0.45710734074999998</v>
      </c>
      <c r="D14" s="40">
        <v>0.43038927098300001</v>
      </c>
      <c r="E14" s="40">
        <v>0.43038927098300001</v>
      </c>
      <c r="F14" s="40">
        <v>0.31946844869300001</v>
      </c>
      <c r="G14" s="40">
        <v>0.31946844869300001</v>
      </c>
      <c r="H14" s="41">
        <v>0.27</v>
      </c>
      <c r="I14" s="41">
        <v>0.27</v>
      </c>
      <c r="J14" s="41">
        <v>0.27</v>
      </c>
      <c r="K14" s="41">
        <v>0.27</v>
      </c>
      <c r="L14" s="41">
        <v>0.224</v>
      </c>
      <c r="M14" s="41">
        <v>0.224</v>
      </c>
      <c r="N14" s="41">
        <v>0.224</v>
      </c>
      <c r="O14" s="41">
        <v>0.224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0.25399260810241903</v>
      </c>
      <c r="D15" s="99">
        <f t="shared" si="0"/>
        <v>0.23914665920024594</v>
      </c>
      <c r="E15" s="99">
        <f t="shared" si="0"/>
        <v>0.23914665920024594</v>
      </c>
      <c r="F15" s="99">
        <f t="shared" si="0"/>
        <v>0.17751328245316286</v>
      </c>
      <c r="G15" s="99">
        <f t="shared" si="0"/>
        <v>0.17751328245316286</v>
      </c>
      <c r="H15" s="99">
        <f t="shared" si="0"/>
        <v>0.15002604000000003</v>
      </c>
      <c r="I15" s="99">
        <f t="shared" si="0"/>
        <v>0.15002604000000003</v>
      </c>
      <c r="J15" s="99">
        <f t="shared" si="0"/>
        <v>0.15002604000000003</v>
      </c>
      <c r="K15" s="99">
        <f t="shared" si="0"/>
        <v>0.15002604000000003</v>
      </c>
      <c r="L15" s="99">
        <f t="shared" si="0"/>
        <v>0.12446604800000001</v>
      </c>
      <c r="M15" s="99">
        <f t="shared" si="0"/>
        <v>0.12446604800000001</v>
      </c>
      <c r="N15" s="99">
        <f t="shared" si="0"/>
        <v>0.12446604800000001</v>
      </c>
      <c r="O15" s="99">
        <f t="shared" si="0"/>
        <v>0.12446604800000001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0.45848971605300898</v>
      </c>
      <c r="D2" s="39">
        <v>0.17920549999999999</v>
      </c>
      <c r="E2" s="39"/>
      <c r="F2" s="39"/>
      <c r="G2" s="39"/>
    </row>
    <row r="3" spans="1:7" x14ac:dyDescent="0.25">
      <c r="B3" s="78" t="s">
        <v>120</v>
      </c>
      <c r="C3" s="39">
        <v>0.181101709604263</v>
      </c>
      <c r="D3" s="39">
        <v>0.18662980000000001</v>
      </c>
      <c r="E3" s="39"/>
      <c r="F3" s="39"/>
      <c r="G3" s="39"/>
    </row>
    <row r="4" spans="1:7" x14ac:dyDescent="0.25">
      <c r="B4" s="78" t="s">
        <v>121</v>
      </c>
      <c r="C4" s="39">
        <v>0.27453681826591497</v>
      </c>
      <c r="D4" s="39">
        <v>0.54415389999999997</v>
      </c>
      <c r="E4" s="39">
        <v>0.69400054216384899</v>
      </c>
      <c r="F4" s="39">
        <v>0.37669947743415799</v>
      </c>
      <c r="G4" s="39"/>
    </row>
    <row r="5" spans="1:7" x14ac:dyDescent="0.25">
      <c r="B5" s="78" t="s">
        <v>122</v>
      </c>
      <c r="C5" s="100">
        <v>8.5871763527393299E-2</v>
      </c>
      <c r="D5" s="100">
        <v>9.0010762214660589E-2</v>
      </c>
      <c r="E5" s="100">
        <f>1-E2-E3-E4</f>
        <v>0.30599945783615101</v>
      </c>
      <c r="F5" s="100">
        <f>1-F2-F3-F4</f>
        <v>0.62330052256584201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2023-01-25T03:24:15Z</dcterms:modified>
</cp:coreProperties>
</file>