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71C459E6-F430-4930-B0BC-626067D0A81C}" xr6:coauthVersionLast="47" xr6:coauthVersionMax="47" xr10:uidLastSave="{00000000-0000-0000-0000-000000000000}"/>
  <bookViews>
    <workbookView xWindow="-108" yWindow="-108" windowWidth="23256" windowHeight="12456" tabRatio="961" firstSheet="1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A40" i="2"/>
  <c r="H39" i="2"/>
  <c r="G39" i="2"/>
  <c r="I39" i="2" s="1"/>
  <c r="A39" i="2"/>
  <c r="H38" i="2"/>
  <c r="G38" i="2"/>
  <c r="I38" i="2" s="1"/>
  <c r="A38" i="2"/>
  <c r="A34" i="2"/>
  <c r="A32" i="2"/>
  <c r="A30" i="2"/>
  <c r="A26" i="2"/>
  <c r="A24" i="2"/>
  <c r="A22" i="2"/>
  <c r="A18" i="2"/>
  <c r="A16" i="2"/>
  <c r="A14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17" i="2" l="1"/>
  <c r="A25" i="2"/>
  <c r="A33" i="2"/>
  <c r="A19" i="2"/>
  <c r="A27" i="2"/>
  <c r="A35" i="2"/>
  <c r="A6" i="2"/>
  <c r="A7" i="2" s="1"/>
  <c r="A8" i="2" s="1"/>
  <c r="A9" i="2" s="1"/>
  <c r="A10" i="2" s="1"/>
  <c r="A11" i="2" s="1"/>
  <c r="A12" i="2"/>
  <c r="A20" i="2"/>
  <c r="A28" i="2"/>
  <c r="A36" i="2"/>
  <c r="A4" i="2"/>
  <c r="A5" i="2" s="1"/>
  <c r="A13" i="2"/>
  <c r="A21" i="2"/>
  <c r="A29" i="2"/>
  <c r="A37" i="2"/>
  <c r="D58" i="20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<sst xmlns="http://schemas.openxmlformats.org/spreadsheetml/2006/main" count="2092" uniqueCount="341">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</sst>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29759786</v>
      </c>
    </row>
    <row r="8" spans="1:3" ht="15" customHeight="1" x14ac:dyDescent="0.25">
      <c r="B8" s="5" t="s">
        <v>8</v>
      </c>
      <c r="C8" s="44">
        <v>3.9E-2</v>
      </c>
    </row>
    <row r="9" spans="1:3" ht="15" customHeight="1" x14ac:dyDescent="0.25">
      <c r="B9" s="5" t="s">
        <v>9</v>
      </c>
      <c r="C9" s="45">
        <v>2.1600000000000001E-2</v>
      </c>
    </row>
    <row r="10" spans="1:3" ht="15" customHeight="1" x14ac:dyDescent="0.25">
      <c r="B10" s="5" t="s">
        <v>10</v>
      </c>
      <c r="C10" s="45">
        <v>0.40135768890380902</v>
      </c>
    </row>
    <row r="11" spans="1:3" ht="15" customHeight="1" x14ac:dyDescent="0.25">
      <c r="B11" s="5" t="s">
        <v>11</v>
      </c>
      <c r="C11" s="45">
        <v>0.36599999999999999</v>
      </c>
    </row>
    <row r="12" spans="1:3" ht="15" customHeight="1" x14ac:dyDescent="0.25">
      <c r="B12" s="5" t="s">
        <v>12</v>
      </c>
      <c r="C12" s="45">
        <v>0.64400000000000002</v>
      </c>
    </row>
    <row r="13" spans="1:3" ht="15" customHeight="1" x14ac:dyDescent="0.25">
      <c r="B13" s="5" t="s">
        <v>13</v>
      </c>
      <c r="C13" s="45">
        <v>0.53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6.6199999999999995E-2</v>
      </c>
    </row>
    <row r="24" spans="1:3" ht="15" customHeight="1" x14ac:dyDescent="0.25">
      <c r="B24" s="15" t="s">
        <v>22</v>
      </c>
      <c r="C24" s="45">
        <v>0.55289999999999995</v>
      </c>
    </row>
    <row r="25" spans="1:3" ht="15" customHeight="1" x14ac:dyDescent="0.25">
      <c r="B25" s="15" t="s">
        <v>23</v>
      </c>
      <c r="C25" s="45">
        <v>0.33850000000000002</v>
      </c>
    </row>
    <row r="26" spans="1:3" ht="15" customHeight="1" x14ac:dyDescent="0.25">
      <c r="B26" s="15" t="s">
        <v>24</v>
      </c>
      <c r="C26" s="45">
        <v>4.24E-2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0.23226987666198901</v>
      </c>
    </row>
    <row r="30" spans="1:3" ht="14.25" customHeight="1" x14ac:dyDescent="0.25">
      <c r="B30" s="25" t="s">
        <v>27</v>
      </c>
      <c r="C30" s="99">
        <v>0.135366096495801</v>
      </c>
    </row>
    <row r="31" spans="1:3" ht="14.25" customHeight="1" x14ac:dyDescent="0.25">
      <c r="B31" s="25" t="s">
        <v>28</v>
      </c>
      <c r="C31" s="99">
        <v>0.14612612557943599</v>
      </c>
    </row>
    <row r="32" spans="1:3" ht="14.25" customHeight="1" x14ac:dyDescent="0.25">
      <c r="B32" s="25" t="s">
        <v>29</v>
      </c>
      <c r="C32" s="99">
        <v>0.486237901262774</v>
      </c>
    </row>
    <row r="33" spans="1:5" ht="13.2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41.215947695787101</v>
      </c>
    </row>
    <row r="38" spans="1:5" ht="15" customHeight="1" x14ac:dyDescent="0.25">
      <c r="B38" s="11" t="s">
        <v>34</v>
      </c>
      <c r="C38" s="43">
        <v>55.663825037745802</v>
      </c>
      <c r="D38" s="12"/>
      <c r="E38" s="13"/>
    </row>
    <row r="39" spans="1:5" ht="15" customHeight="1" x14ac:dyDescent="0.25">
      <c r="B39" s="11" t="s">
        <v>35</v>
      </c>
      <c r="C39" s="43">
        <v>67.241911859455101</v>
      </c>
      <c r="D39" s="12"/>
      <c r="E39" s="12"/>
    </row>
    <row r="40" spans="1:5" ht="15" customHeight="1" x14ac:dyDescent="0.25">
      <c r="B40" s="11" t="s">
        <v>36</v>
      </c>
      <c r="C40" s="100">
        <v>1.4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30.625200799999998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1.86844E-2</v>
      </c>
      <c r="D45" s="12"/>
    </row>
    <row r="46" spans="1:5" ht="15.75" customHeight="1" x14ac:dyDescent="0.25">
      <c r="B46" s="11" t="s">
        <v>41</v>
      </c>
      <c r="C46" s="45">
        <v>0.1232801</v>
      </c>
      <c r="D46" s="12"/>
    </row>
    <row r="47" spans="1:5" ht="15.75" customHeight="1" x14ac:dyDescent="0.25">
      <c r="B47" s="11" t="s">
        <v>42</v>
      </c>
      <c r="C47" s="45">
        <v>0.35834389999999999</v>
      </c>
      <c r="D47" s="12"/>
      <c r="E47" s="13"/>
    </row>
    <row r="48" spans="1:5" ht="15" customHeight="1" x14ac:dyDescent="0.25">
      <c r="B48" s="11" t="s">
        <v>43</v>
      </c>
      <c r="C48" s="46">
        <v>0.49969160000000001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2.2000000000000002</v>
      </c>
      <c r="D51" s="12"/>
    </row>
    <row r="52" spans="1:4" ht="15" customHeight="1" x14ac:dyDescent="0.25">
      <c r="B52" s="11" t="s">
        <v>46</v>
      </c>
      <c r="C52" s="100">
        <v>2.2000000000000002</v>
      </c>
    </row>
    <row r="53" spans="1:4" ht="15.75" customHeight="1" x14ac:dyDescent="0.25">
      <c r="B53" s="11" t="s">
        <v>47</v>
      </c>
      <c r="C53" s="100">
        <v>2.2000000000000002</v>
      </c>
    </row>
    <row r="54" spans="1:4" ht="15.75" customHeight="1" x14ac:dyDescent="0.25">
      <c r="B54" s="11" t="s">
        <v>48</v>
      </c>
      <c r="C54" s="100">
        <v>2.2000000000000002</v>
      </c>
    </row>
    <row r="55" spans="1:4" ht="15.75" customHeight="1" x14ac:dyDescent="0.25">
      <c r="B55" s="11" t="s">
        <v>49</v>
      </c>
      <c r="C55" s="100">
        <v>2.2000000000000002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2.1363636363636359E-2</v>
      </c>
    </row>
    <row r="59" spans="1:4" ht="15.75" customHeight="1" x14ac:dyDescent="0.25">
      <c r="B59" s="11" t="s">
        <v>52</v>
      </c>
      <c r="C59" s="45">
        <v>0.43655699999999997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abSelected="1" topLeftCell="A10" zoomScale="70" zoomScaleNormal="70" workbookViewId="0">
      <selection activeCell="B2" sqref="B2:D3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0.226736138851383</v>
      </c>
      <c r="C2" s="98">
        <v>0.95</v>
      </c>
      <c r="D2" s="56">
        <v>40.804970183945777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42.58615056038073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144.36250163639161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0.35340291379351968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13.60386246040132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13.60386246040132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13.60386246040132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13.60386246040132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13.60386246040132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13.60386246040132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0.41490087160257599</v>
      </c>
      <c r="C16" s="98">
        <v>0.95</v>
      </c>
      <c r="D16" s="56">
        <v>0.34310519825139207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0.85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3.409349542067845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3.409349542067845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0.35662080000000002</v>
      </c>
      <c r="C21" s="98">
        <v>0.95</v>
      </c>
      <c r="D21" s="56">
        <v>2.9700350988978812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23.2491944224648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0.01</v>
      </c>
      <c r="C23" s="98">
        <v>0.95</v>
      </c>
      <c r="D23" s="56">
        <v>4.5011360215453697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0.555620172266166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0.24598689678782401</v>
      </c>
      <c r="C27" s="98">
        <v>0.95</v>
      </c>
      <c r="D27" s="56">
        <v>19.603625971319889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0.37447279999999999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74.335829708896085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1.9602832307524181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0.46563719999999997</v>
      </c>
      <c r="C32" s="98">
        <v>0.95</v>
      </c>
      <c r="D32" s="56">
        <v>0.69222512641099732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0.59869495032297004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0.92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0.1247952</v>
      </c>
      <c r="C38" s="98">
        <v>0.95</v>
      </c>
      <c r="D38" s="56">
        <v>3.614453252824553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0.1497243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2.2000000000000002</v>
      </c>
      <c r="C2" s="21">
        <f>'Baseline year population inputs'!C52</f>
        <v>2.2000000000000002</v>
      </c>
      <c r="D2" s="21">
        <f>'Baseline year population inputs'!C53</f>
        <v>2.2000000000000002</v>
      </c>
      <c r="E2" s="21">
        <f>'Baseline year population inputs'!C54</f>
        <v>2.2000000000000002</v>
      </c>
      <c r="F2" s="21">
        <f>'Baseline year population inputs'!C55</f>
        <v>2.2000000000000002</v>
      </c>
    </row>
    <row r="3" spans="1:6" ht="15.75" customHeight="1" x14ac:dyDescent="0.25">
      <c r="A3" s="3" t="s">
        <v>204</v>
      </c>
      <c r="B3" s="21">
        <f>frac_mam_1month * 2.6</f>
        <v>0.20010143667459479</v>
      </c>
      <c r="C3" s="21">
        <f>frac_mam_1_5months * 2.6</f>
        <v>0.20010143667459479</v>
      </c>
      <c r="D3" s="21">
        <f>frac_mam_6_11months * 2.6</f>
        <v>0.21121167540550218</v>
      </c>
      <c r="E3" s="21">
        <f>frac_mam_12_23months * 2.6</f>
        <v>0.13658372908830652</v>
      </c>
      <c r="F3" s="21">
        <f>frac_mam_24_59months * 2.6</f>
        <v>8.9024348556995286E-2</v>
      </c>
    </row>
    <row r="4" spans="1:6" ht="15.75" customHeight="1" x14ac:dyDescent="0.25">
      <c r="A4" s="3" t="s">
        <v>205</v>
      </c>
      <c r="B4" s="21">
        <f>frac_sam_1month * 2.6</f>
        <v>0.16490840166807164</v>
      </c>
      <c r="C4" s="21">
        <f>frac_sam_1_5months * 2.6</f>
        <v>0.16490840166807164</v>
      </c>
      <c r="D4" s="21">
        <f>frac_sam_6_11months * 2.6</f>
        <v>0.12208314687013613</v>
      </c>
      <c r="E4" s="21">
        <f>frac_sam_12_23months * 2.6</f>
        <v>5.5262035131454577E-2</v>
      </c>
      <c r="F4" s="21">
        <f>frac_sam_24_59months * 2.6</f>
        <v>3.3276657573878682E-2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3.9E-2</v>
      </c>
      <c r="E2" s="60">
        <f>food_insecure</f>
        <v>3.9E-2</v>
      </c>
      <c r="F2" s="60">
        <f>food_insecure</f>
        <v>3.9E-2</v>
      </c>
      <c r="G2" s="60">
        <f>food_insecure</f>
        <v>3.9E-2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3.9E-2</v>
      </c>
      <c r="F5" s="60">
        <f>food_insecure</f>
        <v>3.9E-2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3.9E-2</v>
      </c>
      <c r="F8" s="60">
        <f>food_insecure</f>
        <v>3.9E-2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3.9E-2</v>
      </c>
      <c r="F9" s="60">
        <f>food_insecure</f>
        <v>3.9E-2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0.64400000000000002</v>
      </c>
      <c r="E10" s="60">
        <f>IF(ISBLANK(comm_deliv), frac_children_health_facility,1)</f>
        <v>0.64400000000000002</v>
      </c>
      <c r="F10" s="60">
        <f>IF(ISBLANK(comm_deliv), frac_children_health_facility,1)</f>
        <v>0.64400000000000002</v>
      </c>
      <c r="G10" s="60">
        <f>IF(ISBLANK(comm_deliv), frac_children_health_facility,1)</f>
        <v>0.64400000000000002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3.9E-2</v>
      </c>
      <c r="I15" s="60">
        <f>food_insecure</f>
        <v>3.9E-2</v>
      </c>
      <c r="J15" s="60">
        <f>food_insecure</f>
        <v>3.9E-2</v>
      </c>
      <c r="K15" s="60">
        <f>food_insecure</f>
        <v>3.9E-2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0.36599999999999999</v>
      </c>
      <c r="I18" s="60">
        <f>frac_PW_health_facility</f>
        <v>0.36599999999999999</v>
      </c>
      <c r="J18" s="60">
        <f>frac_PW_health_facility</f>
        <v>0.36599999999999999</v>
      </c>
      <c r="K18" s="60">
        <f>frac_PW_health_facility</f>
        <v>0.36599999999999999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2.1600000000000001E-2</v>
      </c>
      <c r="I19" s="60">
        <f>frac_malaria_risk</f>
        <v>2.1600000000000001E-2</v>
      </c>
      <c r="J19" s="60">
        <f>frac_malaria_risk</f>
        <v>2.1600000000000001E-2</v>
      </c>
      <c r="K19" s="60">
        <f>frac_malaria_risk</f>
        <v>2.1600000000000001E-2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0.53</v>
      </c>
      <c r="M24" s="60">
        <f>famplan_unmet_need</f>
        <v>0.53</v>
      </c>
      <c r="N24" s="60">
        <f>famplan_unmet_need</f>
        <v>0.53</v>
      </c>
      <c r="O24" s="60">
        <f>famplan_unmet_need</f>
        <v>0.53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0.29823761296501133</v>
      </c>
      <c r="M25" s="60">
        <f>(1-food_insecure)*(0.49)+food_insecure*(0.7)</f>
        <v>0.49818999999999997</v>
      </c>
      <c r="N25" s="60">
        <f>(1-food_insecure)*(0.49)+food_insecure*(0.7)</f>
        <v>0.49818999999999997</v>
      </c>
      <c r="O25" s="60">
        <f>(1-food_insecure)*(0.49)+food_insecure*(0.7)</f>
        <v>0.49818999999999997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0.12781611984214772</v>
      </c>
      <c r="M26" s="60">
        <f>(1-food_insecure)*(0.21)+food_insecure*(0.3)</f>
        <v>0.21350999999999998</v>
      </c>
      <c r="N26" s="60">
        <f>(1-food_insecure)*(0.21)+food_insecure*(0.3)</f>
        <v>0.21350999999999998</v>
      </c>
      <c r="O26" s="60">
        <f>(1-food_insecure)*(0.21)+food_insecure*(0.3)</f>
        <v>0.21350999999999998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0.17258857828903185</v>
      </c>
      <c r="M27" s="60">
        <f>(1-food_insecure)*(0.3)</f>
        <v>0.2883</v>
      </c>
      <c r="N27" s="60">
        <f>(1-food_insecure)*(0.3)</f>
        <v>0.2883</v>
      </c>
      <c r="O27" s="60">
        <f>(1-food_insecure)*(0.3)</f>
        <v>0.2883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0.40135768890380896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2.1600000000000001E-2</v>
      </c>
      <c r="D34" s="60">
        <f t="shared" si="3"/>
        <v>2.1600000000000001E-2</v>
      </c>
      <c r="E34" s="60">
        <f t="shared" si="3"/>
        <v>2.1600000000000001E-2</v>
      </c>
      <c r="F34" s="60">
        <f t="shared" si="3"/>
        <v>2.1600000000000001E-2</v>
      </c>
      <c r="G34" s="60">
        <f t="shared" si="3"/>
        <v>2.1600000000000001E-2</v>
      </c>
      <c r="H34" s="60">
        <f t="shared" si="3"/>
        <v>2.1600000000000001E-2</v>
      </c>
      <c r="I34" s="60">
        <f t="shared" si="3"/>
        <v>2.1600000000000001E-2</v>
      </c>
      <c r="J34" s="60">
        <f t="shared" si="3"/>
        <v>2.1600000000000001E-2</v>
      </c>
      <c r="K34" s="60">
        <f t="shared" si="3"/>
        <v>2.1600000000000001E-2</v>
      </c>
      <c r="L34" s="60">
        <f t="shared" si="3"/>
        <v>2.1600000000000001E-2</v>
      </c>
      <c r="M34" s="60">
        <f t="shared" si="3"/>
        <v>2.1600000000000001E-2</v>
      </c>
      <c r="N34" s="60">
        <f t="shared" si="3"/>
        <v>2.1600000000000001E-2</v>
      </c>
      <c r="O34" s="60">
        <f t="shared" si="3"/>
        <v>2.1600000000000001E-2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5414497.8104000008</v>
      </c>
      <c r="C2" s="49">
        <v>9440000</v>
      </c>
      <c r="D2" s="49">
        <v>18070000</v>
      </c>
      <c r="E2" s="49">
        <v>15274000</v>
      </c>
      <c r="F2" s="49">
        <v>10510000</v>
      </c>
      <c r="G2" s="17">
        <f t="shared" ref="G2:G11" si="0">C2+D2+E2+F2</f>
        <v>53294000</v>
      </c>
      <c r="H2" s="17">
        <f t="shared" ref="H2:H11" si="1">(B2 + stillbirth*B2/(1000-stillbirth))/(1-abortion)</f>
        <v>6347223.4124374501</v>
      </c>
      <c r="I2" s="17">
        <f t="shared" ref="I2:I11" si="2">G2-H2</f>
        <v>46946776.587562546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5398707.8656000001</v>
      </c>
      <c r="C3" s="50">
        <v>9660000</v>
      </c>
      <c r="D3" s="50">
        <v>18103000</v>
      </c>
      <c r="E3" s="50">
        <v>15685000</v>
      </c>
      <c r="F3" s="50">
        <v>10865000</v>
      </c>
      <c r="G3" s="17">
        <f t="shared" si="0"/>
        <v>54313000</v>
      </c>
      <c r="H3" s="17">
        <f t="shared" si="1"/>
        <v>6328713.4211464468</v>
      </c>
      <c r="I3" s="17">
        <f t="shared" si="2"/>
        <v>47984286.578853555</v>
      </c>
    </row>
    <row r="4" spans="1:9" ht="15.75" customHeight="1" x14ac:dyDescent="0.25">
      <c r="A4" s="5">
        <f t="shared" si="3"/>
        <v>2023</v>
      </c>
      <c r="B4" s="49">
        <v>5378321.7144000009</v>
      </c>
      <c r="C4" s="50">
        <v>9932000</v>
      </c>
      <c r="D4" s="50">
        <v>18125000</v>
      </c>
      <c r="E4" s="50">
        <v>16064000</v>
      </c>
      <c r="F4" s="50">
        <v>11244000</v>
      </c>
      <c r="G4" s="17">
        <f t="shared" si="0"/>
        <v>55365000</v>
      </c>
      <c r="H4" s="17">
        <f t="shared" si="1"/>
        <v>6304815.4603904951</v>
      </c>
      <c r="I4" s="17">
        <f t="shared" si="2"/>
        <v>49060184.539609507</v>
      </c>
    </row>
    <row r="5" spans="1:9" ht="15.75" customHeight="1" x14ac:dyDescent="0.25">
      <c r="A5" s="5">
        <f t="shared" si="3"/>
        <v>2024</v>
      </c>
      <c r="B5" s="49">
        <v>5353292.6304000011</v>
      </c>
      <c r="C5" s="50">
        <v>10217000</v>
      </c>
      <c r="D5" s="50">
        <v>18167000</v>
      </c>
      <c r="E5" s="50">
        <v>16404000</v>
      </c>
      <c r="F5" s="50">
        <v>11649000</v>
      </c>
      <c r="G5" s="17">
        <f t="shared" si="0"/>
        <v>56437000</v>
      </c>
      <c r="H5" s="17">
        <f t="shared" si="1"/>
        <v>6275474.7544710068</v>
      </c>
      <c r="I5" s="17">
        <f t="shared" si="2"/>
        <v>50161525.245528996</v>
      </c>
    </row>
    <row r="6" spans="1:9" ht="15.75" customHeight="1" x14ac:dyDescent="0.25">
      <c r="A6" s="5">
        <f t="shared" si="3"/>
        <v>2025</v>
      </c>
      <c r="B6" s="49">
        <v>5323605.568</v>
      </c>
      <c r="C6" s="50">
        <v>10489000</v>
      </c>
      <c r="D6" s="50">
        <v>18256000</v>
      </c>
      <c r="E6" s="50">
        <v>16701000</v>
      </c>
      <c r="F6" s="50">
        <v>12083000</v>
      </c>
      <c r="G6" s="17">
        <f t="shared" si="0"/>
        <v>57529000</v>
      </c>
      <c r="H6" s="17">
        <f t="shared" si="1"/>
        <v>6240673.6659656521</v>
      </c>
      <c r="I6" s="17">
        <f t="shared" si="2"/>
        <v>51288326.334034346</v>
      </c>
    </row>
    <row r="7" spans="1:9" ht="15.75" customHeight="1" x14ac:dyDescent="0.25">
      <c r="A7" s="5">
        <f t="shared" si="3"/>
        <v>2026</v>
      </c>
      <c r="B7" s="49">
        <v>5320208.7936000004</v>
      </c>
      <c r="C7" s="50">
        <v>10742000</v>
      </c>
      <c r="D7" s="50">
        <v>18396000</v>
      </c>
      <c r="E7" s="50">
        <v>16955000</v>
      </c>
      <c r="F7" s="50">
        <v>12529000</v>
      </c>
      <c r="G7" s="17">
        <f t="shared" si="0"/>
        <v>58622000</v>
      </c>
      <c r="H7" s="17">
        <f t="shared" si="1"/>
        <v>6236691.7480199039</v>
      </c>
      <c r="I7" s="17">
        <f t="shared" si="2"/>
        <v>52385308.251980096</v>
      </c>
    </row>
    <row r="8" spans="1:9" ht="15.75" customHeight="1" x14ac:dyDescent="0.25">
      <c r="A8" s="5">
        <f t="shared" si="3"/>
        <v>2027</v>
      </c>
      <c r="B8" s="49">
        <v>5313180.2696000002</v>
      </c>
      <c r="C8" s="50">
        <v>10984000</v>
      </c>
      <c r="D8" s="50">
        <v>18577000</v>
      </c>
      <c r="E8" s="50">
        <v>17171000</v>
      </c>
      <c r="F8" s="50">
        <v>13000000</v>
      </c>
      <c r="G8" s="17">
        <f t="shared" si="0"/>
        <v>59732000</v>
      </c>
      <c r="H8" s="17">
        <f t="shared" si="1"/>
        <v>6228452.4590498377</v>
      </c>
      <c r="I8" s="17">
        <f t="shared" si="2"/>
        <v>53503547.540950164</v>
      </c>
    </row>
    <row r="9" spans="1:9" ht="15.75" customHeight="1" x14ac:dyDescent="0.25">
      <c r="A9" s="5">
        <f t="shared" si="3"/>
        <v>2028</v>
      </c>
      <c r="B9" s="49">
        <v>5302655.902400001</v>
      </c>
      <c r="C9" s="50">
        <v>11208000</v>
      </c>
      <c r="D9" s="50">
        <v>18807000</v>
      </c>
      <c r="E9" s="50">
        <v>17348000</v>
      </c>
      <c r="F9" s="50">
        <v>13483000</v>
      </c>
      <c r="G9" s="17">
        <f t="shared" si="0"/>
        <v>60846000</v>
      </c>
      <c r="H9" s="17">
        <f t="shared" si="1"/>
        <v>6216115.11729958</v>
      </c>
      <c r="I9" s="17">
        <f t="shared" si="2"/>
        <v>54629884.882700421</v>
      </c>
    </row>
    <row r="10" spans="1:9" ht="15.75" customHeight="1" x14ac:dyDescent="0.25">
      <c r="A10" s="5">
        <f t="shared" si="3"/>
        <v>2029</v>
      </c>
      <c r="B10" s="49">
        <v>5288831.4312000005</v>
      </c>
      <c r="C10" s="50">
        <v>11404000</v>
      </c>
      <c r="D10" s="50">
        <v>19093000</v>
      </c>
      <c r="E10" s="50">
        <v>17487000</v>
      </c>
      <c r="F10" s="50">
        <v>13959000</v>
      </c>
      <c r="G10" s="17">
        <f t="shared" si="0"/>
        <v>61943000</v>
      </c>
      <c r="H10" s="17">
        <f t="shared" si="1"/>
        <v>6199909.1808789084</v>
      </c>
      <c r="I10" s="17">
        <f t="shared" si="2"/>
        <v>55743090.819121093</v>
      </c>
    </row>
    <row r="11" spans="1:9" ht="15.75" customHeight="1" x14ac:dyDescent="0.25">
      <c r="A11" s="5">
        <f t="shared" si="3"/>
        <v>2030</v>
      </c>
      <c r="B11" s="49">
        <v>5271848.8320000004</v>
      </c>
      <c r="C11" s="50">
        <v>11567000</v>
      </c>
      <c r="D11" s="50">
        <v>19438000</v>
      </c>
      <c r="E11" s="50">
        <v>17587000</v>
      </c>
      <c r="F11" s="50">
        <v>14415000</v>
      </c>
      <c r="G11" s="17">
        <f t="shared" si="0"/>
        <v>63007000</v>
      </c>
      <c r="H11" s="17">
        <f t="shared" si="1"/>
        <v>6180001.0832083831</v>
      </c>
      <c r="I11" s="17">
        <f t="shared" si="2"/>
        <v>56826998.916791618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4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4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3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4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4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3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4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4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3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4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4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3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4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4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3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4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4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3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4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4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3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4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4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3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4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4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3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4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4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3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4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4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3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4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4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3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4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4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3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4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4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3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4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4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4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4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3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4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4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3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4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4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3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4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4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3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4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4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3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4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4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3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4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4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3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4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4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3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4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4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3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4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4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3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4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4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3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4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4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3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4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4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3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4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4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3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4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4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1.2632318123918551E-2</v>
      </c>
    </row>
    <row r="4" spans="1:8" ht="15.75" customHeight="1" x14ac:dyDescent="0.25">
      <c r="B4" s="19" t="s">
        <v>69</v>
      </c>
      <c r="C4" s="101">
        <v>0.15468648780443101</v>
      </c>
    </row>
    <row r="5" spans="1:8" ht="15.75" customHeight="1" x14ac:dyDescent="0.25">
      <c r="B5" s="19" t="s">
        <v>70</v>
      </c>
      <c r="C5" s="101">
        <v>6.3245920765827357E-2</v>
      </c>
    </row>
    <row r="6" spans="1:8" ht="15.75" customHeight="1" x14ac:dyDescent="0.25">
      <c r="B6" s="19" t="s">
        <v>71</v>
      </c>
      <c r="C6" s="101">
        <v>0.22054963089059751</v>
      </c>
    </row>
    <row r="7" spans="1:8" ht="15.75" customHeight="1" x14ac:dyDescent="0.25">
      <c r="B7" s="19" t="s">
        <v>72</v>
      </c>
      <c r="C7" s="101">
        <v>0.36138163848105281</v>
      </c>
    </row>
    <row r="8" spans="1:8" ht="15.75" customHeight="1" x14ac:dyDescent="0.25">
      <c r="B8" s="19" t="s">
        <v>73</v>
      </c>
      <c r="C8" s="101">
        <v>2.5383001996065011E-2</v>
      </c>
    </row>
    <row r="9" spans="1:8" ht="15.75" customHeight="1" x14ac:dyDescent="0.25">
      <c r="B9" s="19" t="s">
        <v>74</v>
      </c>
      <c r="C9" s="101">
        <v>6.1954909856389608E-2</v>
      </c>
    </row>
    <row r="10" spans="1:8" ht="15.75" customHeight="1" x14ac:dyDescent="0.25">
      <c r="B10" s="19" t="s">
        <v>75</v>
      </c>
      <c r="C10" s="101">
        <v>0.1001660920817183</v>
      </c>
    </row>
    <row r="11" spans="1:8" ht="15.75" customHeight="1" x14ac:dyDescent="0.25">
      <c r="B11" s="27" t="s">
        <v>30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0.1819966669694566</v>
      </c>
      <c r="D14" s="55">
        <v>0.1819966669694566</v>
      </c>
      <c r="E14" s="55">
        <v>0.1819966669694566</v>
      </c>
      <c r="F14" s="55">
        <v>0.1819966669694566</v>
      </c>
    </row>
    <row r="15" spans="1:8" ht="15.75" customHeight="1" x14ac:dyDescent="0.25">
      <c r="B15" s="19" t="s">
        <v>82</v>
      </c>
      <c r="C15" s="101">
        <v>0.2561052660732222</v>
      </c>
      <c r="D15" s="101">
        <v>0.2561052660732222</v>
      </c>
      <c r="E15" s="101">
        <v>0.2561052660732222</v>
      </c>
      <c r="F15" s="101">
        <v>0.2561052660732222</v>
      </c>
    </row>
    <row r="16" spans="1:8" ht="15.75" customHeight="1" x14ac:dyDescent="0.25">
      <c r="B16" s="19" t="s">
        <v>83</v>
      </c>
      <c r="C16" s="101">
        <v>2.582355586385671E-2</v>
      </c>
      <c r="D16" s="101">
        <v>2.582355586385671E-2</v>
      </c>
      <c r="E16" s="101">
        <v>2.582355586385671E-2</v>
      </c>
      <c r="F16" s="101">
        <v>2.582355586385671E-2</v>
      </c>
    </row>
    <row r="17" spans="1:8" ht="15.75" customHeight="1" x14ac:dyDescent="0.25">
      <c r="B17" s="19" t="s">
        <v>84</v>
      </c>
      <c r="C17" s="101">
        <v>3.3348458457574122E-2</v>
      </c>
      <c r="D17" s="101">
        <v>3.3348458457574122E-2</v>
      </c>
      <c r="E17" s="101">
        <v>3.3348458457574122E-2</v>
      </c>
      <c r="F17" s="101">
        <v>3.3348458457574122E-2</v>
      </c>
    </row>
    <row r="18" spans="1:8" ht="15.75" customHeight="1" x14ac:dyDescent="0.25">
      <c r="B18" s="19" t="s">
        <v>85</v>
      </c>
      <c r="C18" s="101">
        <v>1.6983176020919401E-3</v>
      </c>
      <c r="D18" s="101">
        <v>1.6983176020919401E-3</v>
      </c>
      <c r="E18" s="101">
        <v>1.6983176020919401E-3</v>
      </c>
      <c r="F18" s="101">
        <v>1.6983176020919401E-3</v>
      </c>
    </row>
    <row r="19" spans="1:8" ht="15.75" customHeight="1" x14ac:dyDescent="0.25">
      <c r="B19" s="19" t="s">
        <v>86</v>
      </c>
      <c r="C19" s="101">
        <v>3.7124479421282351E-2</v>
      </c>
      <c r="D19" s="101">
        <v>3.7124479421282351E-2</v>
      </c>
      <c r="E19" s="101">
        <v>3.7124479421282351E-2</v>
      </c>
      <c r="F19" s="101">
        <v>3.7124479421282351E-2</v>
      </c>
    </row>
    <row r="20" spans="1:8" ht="15.75" customHeight="1" x14ac:dyDescent="0.25">
      <c r="B20" s="19" t="s">
        <v>87</v>
      </c>
      <c r="C20" s="101">
        <v>3.5319826375232468E-3</v>
      </c>
      <c r="D20" s="101">
        <v>3.5319826375232468E-3</v>
      </c>
      <c r="E20" s="101">
        <v>3.5319826375232468E-3</v>
      </c>
      <c r="F20" s="101">
        <v>3.5319826375232468E-3</v>
      </c>
    </row>
    <row r="21" spans="1:8" ht="15.75" customHeight="1" x14ac:dyDescent="0.25">
      <c r="B21" s="19" t="s">
        <v>88</v>
      </c>
      <c r="C21" s="101">
        <v>0.1194835851410818</v>
      </c>
      <c r="D21" s="101">
        <v>0.1194835851410818</v>
      </c>
      <c r="E21" s="101">
        <v>0.1194835851410818</v>
      </c>
      <c r="F21" s="101">
        <v>0.1194835851410818</v>
      </c>
    </row>
    <row r="22" spans="1:8" ht="15.75" customHeight="1" x14ac:dyDescent="0.25">
      <c r="B22" s="19" t="s">
        <v>89</v>
      </c>
      <c r="C22" s="101">
        <v>0.34088768783391099</v>
      </c>
      <c r="D22" s="101">
        <v>0.34088768783391099</v>
      </c>
      <c r="E22" s="101">
        <v>0.34088768783391099</v>
      </c>
      <c r="F22" s="101">
        <v>0.34088768783391099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5.2819977999999997E-2</v>
      </c>
    </row>
    <row r="27" spans="1:8" ht="15.75" customHeight="1" x14ac:dyDescent="0.25">
      <c r="B27" s="19" t="s">
        <v>92</v>
      </c>
      <c r="C27" s="101">
        <v>7.1861679999999997E-3</v>
      </c>
    </row>
    <row r="28" spans="1:8" ht="15.75" customHeight="1" x14ac:dyDescent="0.25">
      <c r="B28" s="19" t="s">
        <v>93</v>
      </c>
      <c r="C28" s="101">
        <v>0.250016285</v>
      </c>
    </row>
    <row r="29" spans="1:8" ht="15.75" customHeight="1" x14ac:dyDescent="0.25">
      <c r="B29" s="19" t="s">
        <v>94</v>
      </c>
      <c r="C29" s="101">
        <v>9.3256678999999995E-2</v>
      </c>
    </row>
    <row r="30" spans="1:8" ht="15.75" customHeight="1" x14ac:dyDescent="0.25">
      <c r="B30" s="19" t="s">
        <v>95</v>
      </c>
      <c r="C30" s="101">
        <v>0.12997281799999999</v>
      </c>
    </row>
    <row r="31" spans="1:8" ht="15.75" customHeight="1" x14ac:dyDescent="0.25">
      <c r="B31" s="19" t="s">
        <v>96</v>
      </c>
      <c r="C31" s="101">
        <v>6.0292912999999997E-2</v>
      </c>
    </row>
    <row r="32" spans="1:8" ht="15.75" customHeight="1" x14ac:dyDescent="0.25">
      <c r="B32" s="19" t="s">
        <v>97</v>
      </c>
      <c r="C32" s="101">
        <v>6.2887368999999999E-2</v>
      </c>
    </row>
    <row r="33" spans="2:3" ht="15.75" customHeight="1" x14ac:dyDescent="0.25">
      <c r="B33" s="19" t="s">
        <v>98</v>
      </c>
      <c r="C33" s="101">
        <v>0.164273895</v>
      </c>
    </row>
    <row r="34" spans="2:3" ht="15.75" customHeight="1" x14ac:dyDescent="0.25">
      <c r="B34" s="19" t="s">
        <v>99</v>
      </c>
      <c r="C34" s="101">
        <v>0.17929389600000001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0.41151213227063788</v>
      </c>
      <c r="D2" s="52">
        <f>IFERROR(1-_xlfn.NORM.DIST(_xlfn.NORM.INV(SUM(D4:D5), 0, 1) + 1, 0, 1, TRUE), "")</f>
        <v>0.41151213227063788</v>
      </c>
      <c r="E2" s="52">
        <f>IFERROR(1-_xlfn.NORM.DIST(_xlfn.NORM.INV(SUM(E4:E5), 0, 1) + 1, 0, 1, TRUE), "")</f>
        <v>0.43845184879433152</v>
      </c>
      <c r="F2" s="52">
        <f>IFERROR(1-_xlfn.NORM.DIST(_xlfn.NORM.INV(SUM(F4:F5), 0, 1) + 1, 0, 1, TRUE), "")</f>
        <v>0.28910436648051485</v>
      </c>
      <c r="G2" s="52">
        <f>IFERROR(1-_xlfn.NORM.DIST(_xlfn.NORM.INV(SUM(G4:G5), 0, 1) + 1, 0, 1, TRUE), "")</f>
        <v>0.19410062053018295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0.3697146442696414</v>
      </c>
      <c r="D3" s="52">
        <f>IFERROR(_xlfn.NORM.DIST(_xlfn.NORM.INV(SUM(D4:D5), 0, 1) + 1, 0, 1, TRUE) - SUM(D4:D5), "")</f>
        <v>0.3697146442696414</v>
      </c>
      <c r="E3" s="52">
        <f>IFERROR(_xlfn.NORM.DIST(_xlfn.NORM.INV(SUM(E4:E5), 0, 1) + 1, 0, 1, TRUE) - SUM(E4:E5), "")</f>
        <v>0.36252190185655087</v>
      </c>
      <c r="F3" s="52">
        <f>IFERROR(_xlfn.NORM.DIST(_xlfn.NORM.INV(SUM(F4:F5), 0, 1) + 1, 0, 1, TRUE) - SUM(F4:F5), "")</f>
        <v>0.38237321955044518</v>
      </c>
      <c r="G3" s="52">
        <f>IFERROR(_xlfn.NORM.DIST(_xlfn.NORM.INV(SUM(G4:G5), 0, 1) + 1, 0, 1, TRUE) - SUM(G4:G5), "")</f>
        <v>0.36042982123083406</v>
      </c>
    </row>
    <row r="4" spans="1:15" ht="15.75" customHeight="1" x14ac:dyDescent="0.25">
      <c r="B4" s="5" t="s">
        <v>104</v>
      </c>
      <c r="C4" s="45">
        <v>0.13137109577655801</v>
      </c>
      <c r="D4" s="53">
        <v>0.13137109577655801</v>
      </c>
      <c r="E4" s="53">
        <v>0.104438312351704</v>
      </c>
      <c r="F4" s="53">
        <v>0.21142743527889299</v>
      </c>
      <c r="G4" s="53">
        <v>0.22741025686263999</v>
      </c>
    </row>
    <row r="5" spans="1:15" ht="15.75" customHeight="1" x14ac:dyDescent="0.25">
      <c r="B5" s="5" t="s">
        <v>105</v>
      </c>
      <c r="C5" s="45">
        <v>8.7402127683162703E-2</v>
      </c>
      <c r="D5" s="53">
        <v>8.7402127683162703E-2</v>
      </c>
      <c r="E5" s="53">
        <v>9.4587936997413594E-2</v>
      </c>
      <c r="F5" s="53">
        <v>0.117094978690147</v>
      </c>
      <c r="G5" s="53">
        <v>0.218059301376343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0.53131504888641068</v>
      </c>
      <c r="D8" s="52">
        <f>IFERROR(1-_xlfn.NORM.DIST(_xlfn.NORM.INV(SUM(D10:D11), 0, 1) + 1, 0, 1, TRUE), "")</f>
        <v>0.53131504888641068</v>
      </c>
      <c r="E8" s="52">
        <f>IFERROR(1-_xlfn.NORM.DIST(_xlfn.NORM.INV(SUM(E10:E11), 0, 1) + 1, 0, 1, TRUE), "")</f>
        <v>0.55368904891406112</v>
      </c>
      <c r="F8" s="52">
        <f>IFERROR(1-_xlfn.NORM.DIST(_xlfn.NORM.INV(SUM(F10:F11), 0, 1) + 1, 0, 1, TRUE), "")</f>
        <v>0.67297938551912528</v>
      </c>
      <c r="G8" s="52">
        <f>IFERROR(1-_xlfn.NORM.DIST(_xlfn.NORM.INV(SUM(G10:G11), 0, 1) + 1, 0, 1, TRUE), "")</f>
        <v>0.7499299217203651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0.32829655175102523</v>
      </c>
      <c r="D9" s="52">
        <f>IFERROR(_xlfn.NORM.DIST(_xlfn.NORM.INV(SUM(D10:D11), 0, 1) + 1, 0, 1, TRUE) - SUM(D10:D11), "")</f>
        <v>0.32829655175102523</v>
      </c>
      <c r="E9" s="52">
        <f>IFERROR(_xlfn.NORM.DIST(_xlfn.NORM.INV(SUM(E10:E11), 0, 1) + 1, 0, 1, TRUE) - SUM(E10:E11), "")</f>
        <v>0.31812063482607805</v>
      </c>
      <c r="F9" s="52">
        <f>IFERROR(_xlfn.NORM.DIST(_xlfn.NORM.INV(SUM(F10:F11), 0, 1) + 1, 0, 1, TRUE) - SUM(F10:F11), "")</f>
        <v>0.25323378208865893</v>
      </c>
      <c r="G9" s="52">
        <f>IFERROR(_xlfn.NORM.DIST(_xlfn.NORM.INV(SUM(G10:G11), 0, 1) + 1, 0, 1, TRUE) - SUM(G10:G11), "")</f>
        <v>0.20303122976776031</v>
      </c>
    </row>
    <row r="10" spans="1:15" ht="15.75" customHeight="1" x14ac:dyDescent="0.25">
      <c r="B10" s="5" t="s">
        <v>109</v>
      </c>
      <c r="C10" s="45">
        <v>7.6962091028690297E-2</v>
      </c>
      <c r="D10" s="53">
        <v>7.6962091028690297E-2</v>
      </c>
      <c r="E10" s="53">
        <v>8.123525977134699E-2</v>
      </c>
      <c r="F10" s="53">
        <v>5.25322034955025E-2</v>
      </c>
      <c r="G10" s="53">
        <v>3.4240134060382801E-2</v>
      </c>
    </row>
    <row r="11" spans="1:15" ht="15.75" customHeight="1" x14ac:dyDescent="0.25">
      <c r="B11" s="5" t="s">
        <v>110</v>
      </c>
      <c r="C11" s="45">
        <v>6.3426308333873707E-2</v>
      </c>
      <c r="D11" s="53">
        <v>6.3426308333873707E-2</v>
      </c>
      <c r="E11" s="53">
        <v>4.6955056488513898E-2</v>
      </c>
      <c r="F11" s="53">
        <v>2.1254628896713298E-2</v>
      </c>
      <c r="G11" s="53">
        <v>1.27987144514918E-2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0.85991862525000007</v>
      </c>
      <c r="D14" s="54">
        <v>0.83566812777800015</v>
      </c>
      <c r="E14" s="54">
        <v>0.83566812777800015</v>
      </c>
      <c r="F14" s="54">
        <v>0.71781739033000003</v>
      </c>
      <c r="G14" s="54">
        <v>0.71781739033000003</v>
      </c>
      <c r="H14" s="45">
        <v>0.51300000000000001</v>
      </c>
      <c r="I14" s="55">
        <v>0.51300000000000001</v>
      </c>
      <c r="J14" s="55">
        <v>0.51300000000000001</v>
      </c>
      <c r="K14" s="55">
        <v>0.51300000000000001</v>
      </c>
      <c r="L14" s="45">
        <v>0.52200000000000002</v>
      </c>
      <c r="M14" s="55">
        <v>0.52200000000000002</v>
      </c>
      <c r="N14" s="55">
        <v>0.52200000000000002</v>
      </c>
      <c r="O14" s="55">
        <v>0.52200000000000002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0.37540349528326428</v>
      </c>
      <c r="D15" s="52">
        <f t="shared" si="0"/>
        <v>0.36481677085838038</v>
      </c>
      <c r="E15" s="52">
        <f t="shared" si="0"/>
        <v>0.36481677085838038</v>
      </c>
      <c r="F15" s="52">
        <f t="shared" si="0"/>
        <v>0.31336820647029379</v>
      </c>
      <c r="G15" s="52">
        <f t="shared" si="0"/>
        <v>0.31336820647029379</v>
      </c>
      <c r="H15" s="52">
        <f t="shared" si="0"/>
        <v>0.22395374099999998</v>
      </c>
      <c r="I15" s="52">
        <f t="shared" si="0"/>
        <v>0.22395374099999998</v>
      </c>
      <c r="J15" s="52">
        <f t="shared" si="0"/>
        <v>0.22395374099999998</v>
      </c>
      <c r="K15" s="52">
        <f t="shared" si="0"/>
        <v>0.22395374099999998</v>
      </c>
      <c r="L15" s="52">
        <f t="shared" si="0"/>
        <v>0.22788275399999999</v>
      </c>
      <c r="M15" s="52">
        <f t="shared" si="0"/>
        <v>0.22788275399999999</v>
      </c>
      <c r="N15" s="52">
        <f t="shared" si="0"/>
        <v>0.22788275399999999</v>
      </c>
      <c r="O15" s="52">
        <f t="shared" si="0"/>
        <v>0.22788275399999999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0.559345543384552</v>
      </c>
      <c r="D2" s="53">
        <v>0.46563719999999997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7.8223004937171894E-2</v>
      </c>
      <c r="D3" s="53">
        <v>0.1007064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0.32265946269035289</v>
      </c>
      <c r="D4" s="53">
        <v>0.35786780000000001</v>
      </c>
      <c r="E4" s="53">
        <v>0.78967547416687001</v>
      </c>
      <c r="F4" s="53">
        <v>0.63183218240737904</v>
      </c>
      <c r="G4" s="53">
        <v>0</v>
      </c>
    </row>
    <row r="5" spans="1:7" x14ac:dyDescent="0.25">
      <c r="B5" s="3" t="s">
        <v>122</v>
      </c>
      <c r="C5" s="52">
        <v>3.9771992713212988E-2</v>
      </c>
      <c r="D5" s="52">
        <v>7.5788594782352406E-2</v>
      </c>
      <c r="E5" s="52">
        <f>1-SUM(E2:E4)</f>
        <v>0.21032452583312999</v>
      </c>
      <c r="F5" s="52">
        <f>1-SUM(F2:F4)</f>
        <v>0.36816781759262096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2023-01-27T00:44:01Z</dcterms:modified>
</cp:coreProperties>
</file>