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4852D8FD-ED9D-41DB-B1F7-84203F824C7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A40" i="2"/>
  <c r="H39" i="2"/>
  <c r="G39" i="2"/>
  <c r="H38" i="2"/>
  <c r="G38" i="2"/>
  <c r="A38" i="2"/>
  <c r="A31" i="2"/>
  <c r="A27" i="2"/>
  <c r="A26" i="2"/>
  <c r="A24" i="2"/>
  <c r="A23" i="2"/>
  <c r="A22" i="2"/>
  <c r="A19" i="2"/>
  <c r="A15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I40" i="2" l="1"/>
  <c r="A30" i="2"/>
  <c r="A32" i="2"/>
  <c r="A34" i="2"/>
  <c r="A35" i="2"/>
  <c r="A14" i="2"/>
  <c r="I38" i="2"/>
  <c r="A16" i="2"/>
  <c r="A39" i="2"/>
  <c r="A18" i="2"/>
  <c r="I39" i="2"/>
  <c r="A17" i="2"/>
  <c r="A25" i="2"/>
  <c r="A33" i="2"/>
  <c r="A20" i="2"/>
  <c r="A36" i="2"/>
  <c r="A4" i="2"/>
  <c r="A5" i="2" s="1"/>
  <c r="A6" i="2" s="1"/>
  <c r="A7" i="2" s="1"/>
  <c r="A8" i="2" s="1"/>
  <c r="A9" i="2" s="1"/>
  <c r="A10" i="2" s="1"/>
  <c r="A11" i="2" s="1"/>
  <c r="A12" i="2"/>
  <c r="A28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<sst xmlns="http://schemas.openxmlformats.org/spreadsheetml/2006/main" count="2092" uniqueCount="341">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</sst>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323342.7265625</v>
      </c>
    </row>
    <row r="8" spans="1:3" ht="15" customHeight="1" x14ac:dyDescent="0.2">
      <c r="B8" s="5" t="s">
        <v>44</v>
      </c>
      <c r="C8" s="44">
        <v>1.4E-2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0.33406288146972701</v>
      </c>
    </row>
    <row r="11" spans="1:3" ht="15" customHeight="1" x14ac:dyDescent="0.2">
      <c r="B11" s="5" t="s">
        <v>49</v>
      </c>
      <c r="C11" s="45">
        <v>0.442</v>
      </c>
    </row>
    <row r="12" spans="1:3" ht="15" customHeight="1" x14ac:dyDescent="0.2">
      <c r="B12" s="5" t="s">
        <v>41</v>
      </c>
      <c r="C12" s="45">
        <v>0.44</v>
      </c>
    </row>
    <row r="13" spans="1:3" ht="15" customHeight="1" x14ac:dyDescent="0.2">
      <c r="B13" s="5" t="s">
        <v>62</v>
      </c>
      <c r="C13" s="45">
        <v>0.68900000000000006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0.13689999999999999</v>
      </c>
    </row>
    <row r="24" spans="1:3" ht="15" customHeight="1" x14ac:dyDescent="0.2">
      <c r="B24" s="15" t="s">
        <v>46</v>
      </c>
      <c r="C24" s="45">
        <v>0.45260000000000011</v>
      </c>
    </row>
    <row r="25" spans="1:3" ht="15" customHeight="1" x14ac:dyDescent="0.2">
      <c r="B25" s="15" t="s">
        <v>47</v>
      </c>
      <c r="C25" s="45">
        <v>0.30809999999999998</v>
      </c>
    </row>
    <row r="26" spans="1:3" ht="15" customHeight="1" x14ac:dyDescent="0.2">
      <c r="B26" s="15" t="s">
        <v>48</v>
      </c>
      <c r="C26" s="45">
        <v>0.1024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6.1573833137445604</v>
      </c>
    </row>
    <row r="38" spans="1:5" ht="15" customHeight="1" x14ac:dyDescent="0.2">
      <c r="B38" s="11" t="s">
        <v>35</v>
      </c>
      <c r="C38" s="43">
        <v>7.5435707882581999</v>
      </c>
      <c r="D38" s="12"/>
      <c r="E38" s="13"/>
    </row>
    <row r="39" spans="1:5" ht="15" customHeight="1" x14ac:dyDescent="0.2">
      <c r="B39" s="11" t="s">
        <v>61</v>
      </c>
      <c r="C39" s="43">
        <v>8.6192212346124695</v>
      </c>
      <c r="D39" s="12"/>
      <c r="E39" s="12"/>
    </row>
    <row r="40" spans="1:5" ht="15" customHeight="1" x14ac:dyDescent="0.2">
      <c r="B40" s="11" t="s">
        <v>36</v>
      </c>
      <c r="C40" s="100">
        <v>0.27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4.4836800459999999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7.6683000000000003E-3</v>
      </c>
      <c r="D45" s="12"/>
    </row>
    <row r="46" spans="1:5" ht="15.75" customHeight="1" x14ac:dyDescent="0.2">
      <c r="B46" s="11" t="s">
        <v>51</v>
      </c>
      <c r="C46" s="45">
        <v>7.7032299999999998E-2</v>
      </c>
      <c r="D46" s="12"/>
    </row>
    <row r="47" spans="1:5" ht="15.75" customHeight="1" x14ac:dyDescent="0.2">
      <c r="B47" s="11" t="s">
        <v>59</v>
      </c>
      <c r="C47" s="45">
        <v>5.80098E-2</v>
      </c>
      <c r="D47" s="12"/>
      <c r="E47" s="13"/>
    </row>
    <row r="48" spans="1:5" ht="15" customHeight="1" x14ac:dyDescent="0.2">
      <c r="B48" s="11" t="s">
        <v>58</v>
      </c>
      <c r="C48" s="46">
        <v>0.85728959999999998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0.54813400000000001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0.15460177999999999</v>
      </c>
    </row>
    <row r="63" spans="1:4" ht="15.75" customHeight="1" x14ac:dyDescent="0.2">
      <c r="A63" s="4"/>
    </row>
  </sheetData>
  <sheetProtection algorithmName="SHA-512" hashValue="fJKonoRK15+xDC2miJiI4nKSD3E+ZGj3M3CYLvgxBVfw0/kbdMA/TZdL2G+31RkRwF7o76gUtdPggThG0xSc5g==" saltValue="KcswZM9AmLX9ykh2fJOd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0.63209012076205195</v>
      </c>
      <c r="C2" s="98">
        <v>0.95</v>
      </c>
      <c r="D2" s="56">
        <v>41.387637286401322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44.781858972877899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153.4973723658575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0.29312507679810212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14.30692084199827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14.30692084199827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14.30692084199827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14.30692084199827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14.30692084199827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14.30692084199827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0.75127765838598504</v>
      </c>
      <c r="C16" s="98">
        <v>0.95</v>
      </c>
      <c r="D16" s="56">
        <v>0.36320040935559378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3.617191631009383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3.617191631009383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0.20890825269999999</v>
      </c>
      <c r="C21" s="98">
        <v>0.95</v>
      </c>
      <c r="D21" s="56">
        <v>2.758347102408317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24.452045938305751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3.2008066180000003E-2</v>
      </c>
      <c r="C23" s="98">
        <v>0.95</v>
      </c>
      <c r="D23" s="56">
        <v>4.7321919239691654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0.89337655369133406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0.61467118137531007</v>
      </c>
      <c r="C27" s="98">
        <v>0.95</v>
      </c>
      <c r="D27" s="56">
        <v>20.61562649086434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0.56282257079999998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75.665679869964904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0.89524516395230957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0.22471399</v>
      </c>
      <c r="C32" s="98">
        <v>0.95</v>
      </c>
      <c r="D32" s="56">
        <v>0.73334431799167266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0.97818360252186098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4.8103308680000012E-2</v>
      </c>
      <c r="C38" s="98">
        <v>0.95</v>
      </c>
      <c r="D38" s="56">
        <v>5.7467676630794493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0.75648277279999998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NE/9/zJs4CR/2rAGk8rem1mmdRplvbdglrN125P9ccVt8MaMfgHnuQavWrPiLi7edSoHd7bkWrNAMbhWzrx/Sw==" saltValue="1jAB4ROXRbuZBfzc9xkq0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J69Sjzb4xoBoESZGp1o6Yoboac+SCTTNwQdKd7Fplejzr8I4+qi2dg+2QTlsnJyzGIyNDD6z3W5jhwnXpXt+Aw==" saltValue="DU8bzJ7eZjfkoe2izj+6c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cZlVToUYSdE6iElTvCws6x/ZaGsaMef2KQn+2hAVqfjOtxqfU8SOvQkAwjLT7XBrOP86/nQGz4wAsLxKWJyZVA==" saltValue="iACHX3pLRuiMNwu17/4u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3.9589771000000003E-2</v>
      </c>
      <c r="C3" s="21">
        <f>frac_mam_1_5months * 2.6</f>
        <v>3.9589771000000003E-2</v>
      </c>
      <c r="D3" s="21">
        <f>frac_mam_6_11months * 2.6</f>
        <v>1.107064348E-2</v>
      </c>
      <c r="E3" s="21">
        <f>frac_mam_12_23months * 2.6</f>
        <v>4.9481507399999999E-2</v>
      </c>
      <c r="F3" s="21">
        <f>frac_mam_24_59months * 2.6</f>
        <v>4.7725904200000009E-2</v>
      </c>
    </row>
    <row r="4" spans="1:6" ht="15.75" customHeight="1" x14ac:dyDescent="0.2">
      <c r="A4" s="3" t="s">
        <v>207</v>
      </c>
      <c r="B4" s="21">
        <f>frac_sam_1month * 2.6</f>
        <v>4.7193848000000004E-3</v>
      </c>
      <c r="C4" s="21">
        <f>frac_sam_1_5months * 2.6</f>
        <v>4.7193848000000004E-3</v>
      </c>
      <c r="D4" s="21">
        <f>frac_sam_6_11months * 2.6</f>
        <v>0</v>
      </c>
      <c r="E4" s="21">
        <f>frac_sam_12_23months * 2.6</f>
        <v>1.139856432E-2</v>
      </c>
      <c r="F4" s="21">
        <f>frac_sam_24_59months * 2.6</f>
        <v>1.3172276780000001E-3</v>
      </c>
    </row>
  </sheetData>
  <sheetProtection algorithmName="SHA-512" hashValue="5Wwah923+rMmAF+FqGSHlsxhQ/e6+4Y0iNfRVuBxM3DKZQvBgaaqJcsaiJdDqJ6hOHkJ3q0IGhQORUDe5I8M8Q==" saltValue="Qc3rCTsahCbbhJJLGl2q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0.44</v>
      </c>
      <c r="E10" s="60">
        <f>IF(ISBLANK(comm_deliv), frac_children_health_facility,1)</f>
        <v>0.44</v>
      </c>
      <c r="F10" s="60">
        <f>IF(ISBLANK(comm_deliv), frac_children_health_facility,1)</f>
        <v>0.44</v>
      </c>
      <c r="G10" s="60">
        <f>IF(ISBLANK(comm_deliv), frac_children_health_facility,1)</f>
        <v>0.44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0.442</v>
      </c>
      <c r="I18" s="60">
        <f>frac_PW_health_facility</f>
        <v>0.442</v>
      </c>
      <c r="J18" s="60">
        <f>frac_PW_health_facility</f>
        <v>0.442</v>
      </c>
      <c r="K18" s="60">
        <f>frac_PW_health_facility</f>
        <v>0.442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0.68900000000000006</v>
      </c>
      <c r="M24" s="60">
        <f>famplan_unmet_need</f>
        <v>0.68900000000000006</v>
      </c>
      <c r="N24" s="60">
        <f>famplan_unmet_need</f>
        <v>0.68900000000000006</v>
      </c>
      <c r="O24" s="60">
        <f>famplan_unmet_need</f>
        <v>0.68900000000000006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0.32826704320831274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0.14068587566070545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0.19698419966125474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0.33406288146972701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HwYa+Tf1cQ7t8xs+poFjC4Y+bxSmzw5yMeDMVnF5W66ca3KQx5Osvf+VRVsbjH8cGhwYt2e3kuYbIWg/Oacpjg==" saltValue="3JU1Auf4tF3KW29pjKSH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zaP9MFRQy5F0XO+yfl8MaekXzBfJd5dVxA4SOekzWhC/i1LueX1nXv5cL07Eqa5BsBlGRTsFkTa4hzQlK/wZiA==" saltValue="02H5rYOlwPgbbexz8Ieew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Kg7C941iCV8Q+u4am78FkP6M++pkNZKCnOrJyQu5gmgdmTGWzuyFufdcoqYouPbB+GxLwOLsp5XRFn8DIImAw==" saltValue="Odd9xNKf2gsZ7sbxP+xe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X5O5WcxDdpdCq0EU4zMp2m94vT1kc5mbeC+3cnNUDDTDkB9nR846ui4X3J74bw7DrEAQrPAgsKqQQzVTyYVng==" saltValue="GzdO9o4ceT1n4K7iGGIWq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7WOGp/SMW5pUYIzCVm9ykH1u3QYpVtyErYsyNJXy3XHeWmPld/oMdJqcJ4VIiKL6sV9SZCcfj5WgVLH4qd29pA==" saltValue="b6iQ/tAKjA6unkxJa8W/0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vOVE9BZK2iEgXPGJ3wb+zjATuhVehFB+OkLlqyTre72G/RwBRPfPneJ7dgZRPZ0aCy1L/jJ6YQ80ipJP/sENw==" saltValue="cPbsZ+UQvXNSq/8N0GT0A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947978.11120000004</v>
      </c>
      <c r="C2" s="49">
        <v>1430000</v>
      </c>
      <c r="D2" s="49">
        <v>2324000</v>
      </c>
      <c r="E2" s="49">
        <v>1586000</v>
      </c>
      <c r="F2" s="49">
        <v>1083000</v>
      </c>
      <c r="G2" s="17">
        <f t="shared" ref="G2:G11" si="0">C2+D2+E2+F2</f>
        <v>6423000</v>
      </c>
      <c r="H2" s="17">
        <f t="shared" ref="H2:H11" si="1">(B2 + stillbirth*B2/(1000-stillbirth))/(1-abortion)</f>
        <v>1082099.6422099241</v>
      </c>
      <c r="I2" s="17">
        <f t="shared" ref="I2:I11" si="2">G2-H2</f>
        <v>5340900.3577900762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962754.47639999993</v>
      </c>
      <c r="C3" s="50">
        <v>1458000</v>
      </c>
      <c r="D3" s="50">
        <v>2389000</v>
      </c>
      <c r="E3" s="50">
        <v>1636000</v>
      </c>
      <c r="F3" s="50">
        <v>1120000</v>
      </c>
      <c r="G3" s="17">
        <f t="shared" si="0"/>
        <v>6603000</v>
      </c>
      <c r="H3" s="17">
        <f t="shared" si="1"/>
        <v>1098966.5923084265</v>
      </c>
      <c r="I3" s="17">
        <f t="shared" si="2"/>
        <v>5504033.4076915737</v>
      </c>
    </row>
    <row r="4" spans="1:9" ht="15.75" customHeight="1" x14ac:dyDescent="0.2">
      <c r="A4" s="5">
        <f t="shared" si="3"/>
        <v>2023</v>
      </c>
      <c r="B4" s="49">
        <v>977582.85240000009</v>
      </c>
      <c r="C4" s="50">
        <v>1488000</v>
      </c>
      <c r="D4" s="50">
        <v>2454000</v>
      </c>
      <c r="E4" s="50">
        <v>1690000</v>
      </c>
      <c r="F4" s="50">
        <v>1157000</v>
      </c>
      <c r="G4" s="17">
        <f t="shared" si="0"/>
        <v>6789000</v>
      </c>
      <c r="H4" s="17">
        <f t="shared" si="1"/>
        <v>1115892.91178203</v>
      </c>
      <c r="I4" s="17">
        <f t="shared" si="2"/>
        <v>5673107.08821797</v>
      </c>
    </row>
    <row r="5" spans="1:9" ht="15.75" customHeight="1" x14ac:dyDescent="0.2">
      <c r="A5" s="5">
        <f t="shared" si="3"/>
        <v>2024</v>
      </c>
      <c r="B5" s="49">
        <v>992449.64800000016</v>
      </c>
      <c r="C5" s="50">
        <v>1520000</v>
      </c>
      <c r="D5" s="50">
        <v>2517000</v>
      </c>
      <c r="E5" s="50">
        <v>1747000</v>
      </c>
      <c r="F5" s="50">
        <v>1193000</v>
      </c>
      <c r="G5" s="17">
        <f t="shared" si="0"/>
        <v>6977000</v>
      </c>
      <c r="H5" s="17">
        <f t="shared" si="1"/>
        <v>1132863.0865249932</v>
      </c>
      <c r="I5" s="17">
        <f t="shared" si="2"/>
        <v>5844136.9134750068</v>
      </c>
    </row>
    <row r="6" spans="1:9" ht="15.75" customHeight="1" x14ac:dyDescent="0.2">
      <c r="A6" s="5">
        <f t="shared" si="3"/>
        <v>2025</v>
      </c>
      <c r="B6" s="49">
        <v>1007307.231</v>
      </c>
      <c r="C6" s="50">
        <v>1555000</v>
      </c>
      <c r="D6" s="50">
        <v>2578000</v>
      </c>
      <c r="E6" s="50">
        <v>1808000</v>
      </c>
      <c r="F6" s="50">
        <v>1231000</v>
      </c>
      <c r="G6" s="17">
        <f t="shared" si="0"/>
        <v>7172000</v>
      </c>
      <c r="H6" s="17">
        <f t="shared" si="1"/>
        <v>1149822.7452538772</v>
      </c>
      <c r="I6" s="17">
        <f t="shared" si="2"/>
        <v>6022177.2547461223</v>
      </c>
    </row>
    <row r="7" spans="1:9" ht="15.75" customHeight="1" x14ac:dyDescent="0.2">
      <c r="A7" s="5">
        <f t="shared" si="3"/>
        <v>2026</v>
      </c>
      <c r="B7" s="49">
        <v>1022412.4036</v>
      </c>
      <c r="C7" s="50">
        <v>1591000</v>
      </c>
      <c r="D7" s="50">
        <v>2637000</v>
      </c>
      <c r="E7" s="50">
        <v>1870000</v>
      </c>
      <c r="F7" s="50">
        <v>1269000</v>
      </c>
      <c r="G7" s="17">
        <f t="shared" si="0"/>
        <v>7367000</v>
      </c>
      <c r="H7" s="17">
        <f t="shared" si="1"/>
        <v>1167065.0229740751</v>
      </c>
      <c r="I7" s="17">
        <f t="shared" si="2"/>
        <v>6199934.9770259252</v>
      </c>
    </row>
    <row r="8" spans="1:9" ht="15.75" customHeight="1" x14ac:dyDescent="0.2">
      <c r="A8" s="5">
        <f t="shared" si="3"/>
        <v>2027</v>
      </c>
      <c r="B8" s="49">
        <v>1037498.49</v>
      </c>
      <c r="C8" s="50">
        <v>1631000</v>
      </c>
      <c r="D8" s="50">
        <v>2694000</v>
      </c>
      <c r="E8" s="50">
        <v>1937000</v>
      </c>
      <c r="F8" s="50">
        <v>1305000</v>
      </c>
      <c r="G8" s="17">
        <f t="shared" si="0"/>
        <v>7567000</v>
      </c>
      <c r="H8" s="17">
        <f t="shared" si="1"/>
        <v>1184285.5141467284</v>
      </c>
      <c r="I8" s="17">
        <f t="shared" si="2"/>
        <v>6382714.4858532716</v>
      </c>
    </row>
    <row r="9" spans="1:9" ht="15.75" customHeight="1" x14ac:dyDescent="0.2">
      <c r="A9" s="5">
        <f t="shared" si="3"/>
        <v>2028</v>
      </c>
      <c r="B9" s="49">
        <v>1052553.2598000001</v>
      </c>
      <c r="C9" s="50">
        <v>1673000</v>
      </c>
      <c r="D9" s="50">
        <v>2751000</v>
      </c>
      <c r="E9" s="50">
        <v>2006000</v>
      </c>
      <c r="F9" s="50">
        <v>1345000</v>
      </c>
      <c r="G9" s="17">
        <f t="shared" si="0"/>
        <v>7775000</v>
      </c>
      <c r="H9" s="17">
        <f t="shared" si="1"/>
        <v>1201470.2579943594</v>
      </c>
      <c r="I9" s="17">
        <f t="shared" si="2"/>
        <v>6573529.7420056406</v>
      </c>
    </row>
    <row r="10" spans="1:9" ht="15.75" customHeight="1" x14ac:dyDescent="0.2">
      <c r="A10" s="5">
        <f t="shared" si="3"/>
        <v>2029</v>
      </c>
      <c r="B10" s="49">
        <v>1067597.2692</v>
      </c>
      <c r="C10" s="50">
        <v>1716000</v>
      </c>
      <c r="D10" s="50">
        <v>2810000</v>
      </c>
      <c r="E10" s="50">
        <v>2074000</v>
      </c>
      <c r="F10" s="50">
        <v>1386000</v>
      </c>
      <c r="G10" s="17">
        <f t="shared" si="0"/>
        <v>7986000</v>
      </c>
      <c r="H10" s="17">
        <f t="shared" si="1"/>
        <v>1218642.7190425743</v>
      </c>
      <c r="I10" s="17">
        <f t="shared" si="2"/>
        <v>6767357.2809574259</v>
      </c>
    </row>
    <row r="11" spans="1:9" ht="15.75" customHeight="1" x14ac:dyDescent="0.2">
      <c r="A11" s="5">
        <f t="shared" si="3"/>
        <v>2030</v>
      </c>
      <c r="B11" s="49">
        <v>1082552.4010000001</v>
      </c>
      <c r="C11" s="50">
        <v>1759000</v>
      </c>
      <c r="D11" s="50">
        <v>2873000</v>
      </c>
      <c r="E11" s="50">
        <v>2141000</v>
      </c>
      <c r="F11" s="50">
        <v>1431000</v>
      </c>
      <c r="G11" s="17">
        <f t="shared" si="0"/>
        <v>8204000</v>
      </c>
      <c r="H11" s="17">
        <f t="shared" si="1"/>
        <v>1235713.7279390742</v>
      </c>
      <c r="I11" s="17">
        <f t="shared" si="2"/>
        <v>6968286.2720609261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0I/CsC7f+qDtHB+0EmbxPOcbWUxPgza15soM+k0zBL7x4uQgbL28bYzLuC9ku/Tlg99GZA1lzqDv0lvJkn2sw==" saltValue="VB08uuSL/xUXaiEJ0LwAX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GQFLSvfEfTGQTbaXxCEiAponwXIlSyjzr2MZqXV+VR23sujPPZ5J4xE6SVzmcR2alOdCU9NYmj9BU+n4r72kaw==" saltValue="QclM+Yyh5mhT6zciqQDt2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sOhPj85x/9Wc3Yny666CvHBep+B6YMcY0RXRFFp4UaQke58bYqaA9Nh2x0G8B3UuFXbaBZzgqm8yj43MdM18/g==" saltValue="8W4TayZEiY9f30yYGA15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qlA4UxgY/7rN/9qBTit4pB7s1kflQevkR+jpOdi9VvR33GZI3Dc+zK97QOmt8oc3uJTyE32N6nW+Y/q5w/RHig==" saltValue="LPijrjn0VXt0pt9ln0rk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h8i+D9zV2x66hfGsv6//NxonXQ9rJSE3e+7DwZCtb08JSF+YP5b1EdMgvy2QFmeGCYMG0GJ3iSL231kFAJIUpQ==" saltValue="2UcyRETiaIDupe4w5xGA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Xb64qEK7fRL5zCyq4xxLnJUt7Jx2Yv7nFALTBn2yTa5GFw1ve6dkBb3TeFOxg5yG7LjAaAikHSvHmV7X9Sw4oA==" saltValue="KbqpMIeaeU1TzAltaVoO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yV2YSv0lw1AWrxAbPApjc/+Gcu3ltbJZkoXDn96MXVYA/i8gDWhoFTFpV/PCG4RrvkzSdCFLMsvvAL5mMPL++Q==" saltValue="G8LfyXR9btSYjpyxneE+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h3Pq5w1vsKXQISWsTCIz/+fgSdhmRbJVghX43PeGuCaNXwKgBrT1itocApWXj09ygO86x5gfEb/A5ox9kshcwg==" saltValue="Rj2xsMVl2IIx6xuVXtBV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w4dSNv75BElm0tgUK+Ghsj4OhUX2LLULthoEf9i1PLi3r43BRpA1BhDWZhM90AK8wWyInVfbGhJFfkqYd/V2vQ==" saltValue="p988Chyi6XjBmG1KZnZX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MRdX9LqdN7yCkYENceZlYpws1Bu3+QsPBEHy1qE/C6zWYLVo7EpWV5s9baqHHU1mSIKbjayCBGgj1OucgmwnA==" saltValue="Q3sb0sb7qYU2fHHPJ7up/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2.236840100862876E-2</v>
      </c>
    </row>
    <row r="5" spans="1:8" ht="15.75" customHeight="1" x14ac:dyDescent="0.2">
      <c r="B5" s="19" t="s">
        <v>95</v>
      </c>
      <c r="C5" s="101">
        <v>2.7828901869366401E-2</v>
      </c>
    </row>
    <row r="6" spans="1:8" ht="15.75" customHeight="1" x14ac:dyDescent="0.2">
      <c r="B6" s="19" t="s">
        <v>91</v>
      </c>
      <c r="C6" s="101">
        <v>0.10535892521549731</v>
      </c>
    </row>
    <row r="7" spans="1:8" ht="15.75" customHeight="1" x14ac:dyDescent="0.2">
      <c r="B7" s="19" t="s">
        <v>96</v>
      </c>
      <c r="C7" s="101">
        <v>0.40982172882225898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0.39392497298393803</v>
      </c>
    </row>
    <row r="10" spans="1:8" ht="15.75" customHeight="1" x14ac:dyDescent="0.2">
      <c r="B10" s="19" t="s">
        <v>94</v>
      </c>
      <c r="C10" s="101">
        <v>4.0697070100310678E-2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3.0100854799463211E-2</v>
      </c>
      <c r="D14" s="55">
        <v>3.0100854799463211E-2</v>
      </c>
      <c r="E14" s="55">
        <v>3.0100854799463211E-2</v>
      </c>
      <c r="F14" s="55">
        <v>3.0100854799463211E-2</v>
      </c>
    </row>
    <row r="15" spans="1:8" ht="15.75" customHeight="1" x14ac:dyDescent="0.2">
      <c r="B15" s="19" t="s">
        <v>102</v>
      </c>
      <c r="C15" s="101">
        <v>7.4836490071676878E-2</v>
      </c>
      <c r="D15" s="101">
        <v>7.4836490071676878E-2</v>
      </c>
      <c r="E15" s="101">
        <v>7.4836490071676878E-2</v>
      </c>
      <c r="F15" s="101">
        <v>7.4836490071676878E-2</v>
      </c>
    </row>
    <row r="16" spans="1:8" ht="15.75" customHeight="1" x14ac:dyDescent="0.2">
      <c r="B16" s="19" t="s">
        <v>2</v>
      </c>
      <c r="C16" s="101">
        <v>2.0367798948042939E-2</v>
      </c>
      <c r="D16" s="101">
        <v>2.0367798948042939E-2</v>
      </c>
      <c r="E16" s="101">
        <v>2.0367798948042939E-2</v>
      </c>
      <c r="F16" s="101">
        <v>2.0367798948042939E-2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2.1566323907605458E-3</v>
      </c>
      <c r="D19" s="101">
        <v>2.1566323907605458E-3</v>
      </c>
      <c r="E19" s="101">
        <v>2.1566323907605458E-3</v>
      </c>
      <c r="F19" s="101">
        <v>2.1566323907605458E-3</v>
      </c>
    </row>
    <row r="20" spans="1:8" ht="15.75" customHeight="1" x14ac:dyDescent="0.2">
      <c r="B20" s="19" t="s">
        <v>79</v>
      </c>
      <c r="C20" s="101">
        <v>0.14952667703961739</v>
      </c>
      <c r="D20" s="101">
        <v>0.14952667703961739</v>
      </c>
      <c r="E20" s="101">
        <v>0.14952667703961739</v>
      </c>
      <c r="F20" s="101">
        <v>0.14952667703961739</v>
      </c>
    </row>
    <row r="21" spans="1:8" ht="15.75" customHeight="1" x14ac:dyDescent="0.2">
      <c r="B21" s="19" t="s">
        <v>88</v>
      </c>
      <c r="C21" s="101">
        <v>9.6059007995162413E-2</v>
      </c>
      <c r="D21" s="101">
        <v>9.6059007995162413E-2</v>
      </c>
      <c r="E21" s="101">
        <v>9.6059007995162413E-2</v>
      </c>
      <c r="F21" s="101">
        <v>9.6059007995162413E-2</v>
      </c>
    </row>
    <row r="22" spans="1:8" ht="15.75" customHeight="1" x14ac:dyDescent="0.2">
      <c r="B22" s="19" t="s">
        <v>99</v>
      </c>
      <c r="C22" s="101">
        <v>0.62695253875527646</v>
      </c>
      <c r="D22" s="101">
        <v>0.62695253875527646</v>
      </c>
      <c r="E22" s="101">
        <v>0.62695253875527646</v>
      </c>
      <c r="F22" s="101">
        <v>0.62695253875527646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4.3847376999999993E-2</v>
      </c>
    </row>
    <row r="27" spans="1:8" ht="15.75" customHeight="1" x14ac:dyDescent="0.2">
      <c r="B27" s="19" t="s">
        <v>89</v>
      </c>
      <c r="C27" s="101">
        <v>3.4044087000000001E-2</v>
      </c>
    </row>
    <row r="28" spans="1:8" ht="15.75" customHeight="1" x14ac:dyDescent="0.2">
      <c r="B28" s="19" t="s">
        <v>103</v>
      </c>
      <c r="C28" s="101">
        <v>4.3283602999999997E-2</v>
      </c>
    </row>
    <row r="29" spans="1:8" ht="15.75" customHeight="1" x14ac:dyDescent="0.2">
      <c r="B29" s="19" t="s">
        <v>86</v>
      </c>
      <c r="C29" s="101">
        <v>0.177569167</v>
      </c>
    </row>
    <row r="30" spans="1:8" ht="15.75" customHeight="1" x14ac:dyDescent="0.2">
      <c r="B30" s="19" t="s">
        <v>4</v>
      </c>
      <c r="C30" s="101">
        <v>3.1893660999999997E-2</v>
      </c>
    </row>
    <row r="31" spans="1:8" ht="15.75" customHeight="1" x14ac:dyDescent="0.2">
      <c r="B31" s="19" t="s">
        <v>80</v>
      </c>
      <c r="C31" s="101">
        <v>9.3503550000000005E-2</v>
      </c>
    </row>
    <row r="32" spans="1:8" ht="15.75" customHeight="1" x14ac:dyDescent="0.2">
      <c r="B32" s="19" t="s">
        <v>85</v>
      </c>
      <c r="C32" s="101">
        <v>7.8392814000000005E-2</v>
      </c>
    </row>
    <row r="33" spans="2:3" ht="15.75" customHeight="1" x14ac:dyDescent="0.2">
      <c r="B33" s="19" t="s">
        <v>100</v>
      </c>
      <c r="C33" s="101">
        <v>0.15751110600000001</v>
      </c>
    </row>
    <row r="34" spans="2:3" ht="15.75" customHeight="1" x14ac:dyDescent="0.2">
      <c r="B34" s="19" t="s">
        <v>87</v>
      </c>
      <c r="C34" s="101">
        <v>0.33995463500000001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5Zhqzv70/8v2P/95ghJCJ6GkSO9ES1Th4cZ3UqN/GKxpBBuOVhJZjC3T1LHQUZlIJAzQ2QEqXFqGKJ4YLKPBRg==" saltValue="tcgUc9nsN2BIg85Blzvcu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0.93833866148798106</v>
      </c>
      <c r="D2" s="52">
        <f>IFERROR(1-_xlfn.NORM.DIST(_xlfn.NORM.INV(SUM(D4:D5), 0, 1) + 1, 0, 1, TRUE), "")</f>
        <v>0.93833866148798106</v>
      </c>
      <c r="E2" s="52">
        <f>IFERROR(1-_xlfn.NORM.DIST(_xlfn.NORM.INV(SUM(E4:E5), 0, 1) + 1, 0, 1, TRUE), "")</f>
        <v>0.97657259788527084</v>
      </c>
      <c r="F2" s="52">
        <f>IFERROR(1-_xlfn.NORM.DIST(_xlfn.NORM.INV(SUM(F4:F5), 0, 1) + 1, 0, 1, TRUE), "")</f>
        <v>0.76771322469849701</v>
      </c>
      <c r="G2" s="52">
        <f>IFERROR(1-_xlfn.NORM.DIST(_xlfn.NORM.INV(SUM(G4:G5), 0, 1) + 1, 0, 1, TRUE), "")</f>
        <v>0.76772724821307881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5.6134159912018915E-2</v>
      </c>
      <c r="D3" s="52">
        <f>IFERROR(_xlfn.NORM.DIST(_xlfn.NORM.INV(SUM(D4:D5), 0, 1) + 1, 0, 1, TRUE) - SUM(D4:D5), "")</f>
        <v>5.6134159912018915E-2</v>
      </c>
      <c r="E3" s="52">
        <f>IFERROR(_xlfn.NORM.DIST(_xlfn.NORM.INV(SUM(E4:E5), 0, 1) + 1, 0, 1, TRUE) - SUM(E4:E5), "")</f>
        <v>2.2021563114729165E-2</v>
      </c>
      <c r="F3" s="52">
        <f>IFERROR(_xlfn.NORM.DIST(_xlfn.NORM.INV(SUM(F4:F5), 0, 1) + 1, 0, 1, TRUE) - SUM(F4:F5), "")</f>
        <v>0.19059090600150297</v>
      </c>
      <c r="G3" s="52">
        <f>IFERROR(_xlfn.NORM.DIST(_xlfn.NORM.INV(SUM(G4:G5), 0, 1) + 1, 0, 1, TRUE) - SUM(G4:G5), "")</f>
        <v>0.19058097588692124</v>
      </c>
    </row>
    <row r="4" spans="1:15" ht="15.75" customHeight="1" x14ac:dyDescent="0.2">
      <c r="B4" s="5" t="s">
        <v>110</v>
      </c>
      <c r="C4" s="45">
        <v>5.5271786E-3</v>
      </c>
      <c r="D4" s="53">
        <v>5.5271786E-3</v>
      </c>
      <c r="E4" s="53">
        <v>0</v>
      </c>
      <c r="F4" s="53">
        <v>3.6424096000000003E-2</v>
      </c>
      <c r="G4" s="53">
        <v>3.7740078000000003E-2</v>
      </c>
    </row>
    <row r="5" spans="1:15" ht="15.75" customHeight="1" x14ac:dyDescent="0.2">
      <c r="B5" s="5" t="s">
        <v>106</v>
      </c>
      <c r="C5" s="45">
        <v>0</v>
      </c>
      <c r="D5" s="53">
        <v>0</v>
      </c>
      <c r="E5" s="53">
        <v>1.4058390000000001E-3</v>
      </c>
      <c r="F5" s="53">
        <v>5.2717733000000001E-3</v>
      </c>
      <c r="G5" s="53">
        <v>3.9516979000000004E-3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0.86844633964209028</v>
      </c>
      <c r="D8" s="52">
        <f>IFERROR(1-_xlfn.NORM.DIST(_xlfn.NORM.INV(SUM(D10:D11), 0, 1) + 1, 0, 1, TRUE), "")</f>
        <v>0.86844633964209028</v>
      </c>
      <c r="E8" s="52">
        <f>IFERROR(1-_xlfn.NORM.DIST(_xlfn.NORM.INV(SUM(E10:E11), 0, 1) + 1, 0, 1, TRUE), "")</f>
        <v>0.94854441272980083</v>
      </c>
      <c r="F8" s="52">
        <f>IFERROR(1-_xlfn.NORM.DIST(_xlfn.NORM.INV(SUM(F10:F11), 0, 1) + 1, 0, 1, TRUE), "")</f>
        <v>0.83838131374153957</v>
      </c>
      <c r="G8" s="52">
        <f>IFERROR(1-_xlfn.NORM.DIST(_xlfn.NORM.INV(SUM(G10:G11), 0, 1) + 1, 0, 1, TRUE), "")</f>
        <v>0.85944405584287498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0.11451167735790969</v>
      </c>
      <c r="D9" s="52">
        <f>IFERROR(_xlfn.NORM.DIST(_xlfn.NORM.INV(SUM(D10:D11), 0, 1) + 1, 0, 1, TRUE) - SUM(D10:D11), "")</f>
        <v>0.11451167735790969</v>
      </c>
      <c r="E9" s="52">
        <f>IFERROR(_xlfn.NORM.DIST(_xlfn.NORM.INV(SUM(E10:E11), 0, 1) + 1, 0, 1, TRUE) - SUM(E10:E11), "")</f>
        <v>4.7197647470199125E-2</v>
      </c>
      <c r="F9" s="52">
        <f>IFERROR(_xlfn.NORM.DIST(_xlfn.NORM.INV(SUM(F10:F11), 0, 1) + 1, 0, 1, TRUE) - SUM(F10:F11), "")</f>
        <v>0.13820327405846045</v>
      </c>
      <c r="G9" s="52">
        <f>IFERROR(_xlfn.NORM.DIST(_xlfn.NORM.INV(SUM(G10:G11), 0, 1) + 1, 0, 1, TRUE) - SUM(G10:G11), "")</f>
        <v>0.12169320112712502</v>
      </c>
    </row>
    <row r="10" spans="1:15" ht="15.75" customHeight="1" x14ac:dyDescent="0.2">
      <c r="B10" s="5" t="s">
        <v>107</v>
      </c>
      <c r="C10" s="45">
        <v>1.5226834999999999E-2</v>
      </c>
      <c r="D10" s="53">
        <v>1.5226834999999999E-2</v>
      </c>
      <c r="E10" s="53">
        <v>4.2579397999999999E-3</v>
      </c>
      <c r="F10" s="53">
        <v>1.9031348999999999E-2</v>
      </c>
      <c r="G10" s="53">
        <v>1.8356117000000002E-2</v>
      </c>
    </row>
    <row r="11" spans="1:15" ht="15.75" customHeight="1" x14ac:dyDescent="0.2">
      <c r="B11" s="5" t="s">
        <v>119</v>
      </c>
      <c r="C11" s="45">
        <v>1.8151479999999999E-3</v>
      </c>
      <c r="D11" s="53">
        <v>1.8151479999999999E-3</v>
      </c>
      <c r="E11" s="53">
        <v>0</v>
      </c>
      <c r="F11" s="53">
        <v>4.3840631999999997E-3</v>
      </c>
      <c r="G11" s="53">
        <v>5.0662603000000003E-4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0.95296559150000004</v>
      </c>
      <c r="D14" s="54">
        <v>0.95116511860899999</v>
      </c>
      <c r="E14" s="54">
        <v>0.95116511860899999</v>
      </c>
      <c r="F14" s="54">
        <v>0.76734861546599997</v>
      </c>
      <c r="G14" s="54">
        <v>0.76734861546599997</v>
      </c>
      <c r="H14" s="45">
        <v>0.247</v>
      </c>
      <c r="I14" s="55">
        <v>0.247</v>
      </c>
      <c r="J14" s="55">
        <v>0.247</v>
      </c>
      <c r="K14" s="55">
        <v>0.247</v>
      </c>
      <c r="L14" s="45">
        <v>0.14599999999999999</v>
      </c>
      <c r="M14" s="55">
        <v>0.14599999999999999</v>
      </c>
      <c r="N14" s="55">
        <v>0.14599999999999999</v>
      </c>
      <c r="O14" s="55">
        <v>0.14599999999999999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0.52235284153126105</v>
      </c>
      <c r="D15" s="52">
        <f t="shared" si="0"/>
        <v>0.52136594112362566</v>
      </c>
      <c r="E15" s="52">
        <f t="shared" si="0"/>
        <v>0.52136594112362566</v>
      </c>
      <c r="F15" s="52">
        <f t="shared" si="0"/>
        <v>0.42060986598984046</v>
      </c>
      <c r="G15" s="52">
        <f t="shared" si="0"/>
        <v>0.42060986598984046</v>
      </c>
      <c r="H15" s="52">
        <f t="shared" si="0"/>
        <v>0.13538909800000001</v>
      </c>
      <c r="I15" s="52">
        <f t="shared" si="0"/>
        <v>0.13538909800000001</v>
      </c>
      <c r="J15" s="52">
        <f t="shared" si="0"/>
        <v>0.13538909800000001</v>
      </c>
      <c r="K15" s="52">
        <f t="shared" si="0"/>
        <v>0.13538909800000001</v>
      </c>
      <c r="L15" s="52">
        <f t="shared" si="0"/>
        <v>8.0027563999999995E-2</v>
      </c>
      <c r="M15" s="52">
        <f t="shared" si="0"/>
        <v>8.0027563999999995E-2</v>
      </c>
      <c r="N15" s="52">
        <f t="shared" si="0"/>
        <v>8.0027563999999995E-2</v>
      </c>
      <c r="O15" s="52">
        <f t="shared" si="0"/>
        <v>8.0027563999999995E-2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XK7x2Xh+ht5eXDPF0U8N379u0AbDrQ6pN3YmEZyay0rLLGg0hGegF8Jh9v2Dy3sd7PG0JJ2qRcr7/3bPQ+TJvw==" saltValue="lW+cy0yWkJp3qZx8zz+w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0.43854946140000001</v>
      </c>
      <c r="D2" s="53">
        <v>0.22471399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8.4647979999999998E-2</v>
      </c>
      <c r="D3" s="53">
        <v>0.14546853000000001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0.37770904999999999</v>
      </c>
      <c r="D4" s="53">
        <v>0.45987926000000001</v>
      </c>
      <c r="E4" s="53">
        <v>0.68089199066162098</v>
      </c>
      <c r="F4" s="53">
        <v>0.39779895544052102</v>
      </c>
      <c r="G4" s="53">
        <v>0</v>
      </c>
    </row>
    <row r="5" spans="1:7" x14ac:dyDescent="0.2">
      <c r="B5" s="3" t="s">
        <v>125</v>
      </c>
      <c r="C5" s="52">
        <v>9.9093484879999985E-2</v>
      </c>
      <c r="D5" s="52">
        <v>0.16993823999999999</v>
      </c>
      <c r="E5" s="52">
        <f>1-SUM(E2:E4)</f>
        <v>0.31910800933837902</v>
      </c>
      <c r="F5" s="52">
        <f>1-SUM(F2:F4)</f>
        <v>0.60220104455947898</v>
      </c>
      <c r="G5" s="52">
        <f>1-SUM(G2:G4)</f>
        <v>1</v>
      </c>
    </row>
  </sheetData>
  <sheetProtection algorithmName="SHA-512" hashValue="sUTZjGF6H0houABMEVMSZ3PLB05Xv57yU79Gipe2YWEhWWMYYokxfAdNKGuau0lmWRavo5ao2JxKoyfTOXoqfA==" saltValue="XmoOF6jc01liKsmv6QSy+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1i9Edn6G5bMe4veQgoIQpXyuhha2+leaanXn7VO4nGStVrsbX+8+89ILLp6Arha7nl6WI0rWmXsgc72fJ65rGw==" saltValue="X1l5IONvma/gQXeEXfhDw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K5aBnUak/iG98MnGh/SapKYcPL9InJYrR+tlX0CmUCoZ3T4nbzydRJDKhL2Yc3dbqP0Ilb9n1goqJBt9GLNqBg==" saltValue="tJZzy848hW/LpWd4PHEd6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aJO5I4FufbHbrJEVh4ncs0OfNsBFz0MI3SqfQkaYCZ9WPQDb43U8L14doKwZsDct+R7mz8JhgJysl1V7cMi+6g==" saltValue="Woyecxn797+Oji6ESFDzL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Xhf00W7sFwSgO00GZOkstYLxDb7u0u1VAzcqU+5dFP9uFEPkrPLZ6zS/6dxpRXcwohgdVmkiqMi913LSGgUvbQ==" saltValue="LzZ9A/QZJ2/uhD+bdXl4I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2023-01-27T02:21:02Z</dcterms:modified>
</cp:coreProperties>
</file>