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64AF4861-667D-4A9C-9863-55875D2F2B66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A40" i="2"/>
  <c r="H39" i="2"/>
  <c r="G39" i="2"/>
  <c r="H38" i="2"/>
  <c r="G38" i="2"/>
  <c r="I38" i="2" s="1"/>
  <c r="A38" i="2"/>
  <c r="A35" i="2"/>
  <c r="A34" i="2"/>
  <c r="A32" i="2"/>
  <c r="A27" i="2"/>
  <c r="A26" i="2"/>
  <c r="A24" i="2"/>
  <c r="A23" i="2"/>
  <c r="A22" i="2"/>
  <c r="A19" i="2"/>
  <c r="A15" i="2"/>
  <c r="A14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A3" i="2"/>
  <c r="H2" i="2"/>
  <c r="I2" i="2" s="1"/>
  <c r="G2" i="2"/>
  <c r="A2" i="2"/>
  <c r="A37" i="2" s="1"/>
  <c r="C33" i="1"/>
  <c r="C20" i="1"/>
  <c r="A30" i="2" l="1"/>
  <c r="A31" i="2"/>
  <c r="A16" i="2"/>
  <c r="A39" i="2"/>
  <c r="A18" i="2"/>
  <c r="I39" i="2"/>
  <c r="A17" i="2"/>
  <c r="A25" i="2"/>
  <c r="A33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<sst xmlns="http://schemas.openxmlformats.org/spreadsheetml/2006/main" count="2092" uniqueCount="341">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</sst>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323342.7265625</v>
      </c>
    </row>
    <row r="8" spans="1:3" ht="15" customHeight="1" x14ac:dyDescent="0.2">
      <c r="B8" s="5" t="s">
        <v>44</v>
      </c>
      <c r="C8" s="44">
        <v>1.4E-2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0.84452529907226603</v>
      </c>
    </row>
    <row r="11" spans="1:3" ht="15" customHeight="1" x14ac:dyDescent="0.2">
      <c r="B11" s="5" t="s">
        <v>49</v>
      </c>
      <c r="C11" s="45">
        <v>0.97599999999999998</v>
      </c>
    </row>
    <row r="12" spans="1:3" ht="15" customHeight="1" x14ac:dyDescent="0.2">
      <c r="B12" s="5" t="s">
        <v>41</v>
      </c>
      <c r="C12" s="45">
        <v>0.77200000000000002</v>
      </c>
    </row>
    <row r="13" spans="1:3" ht="15" customHeight="1" x14ac:dyDescent="0.2">
      <c r="B13" s="5" t="s">
        <v>62</v>
      </c>
      <c r="C13" s="45">
        <v>0.109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0.1542</v>
      </c>
    </row>
    <row r="24" spans="1:3" ht="15" customHeight="1" x14ac:dyDescent="0.2">
      <c r="B24" s="15" t="s">
        <v>46</v>
      </c>
      <c r="C24" s="45">
        <v>0.504</v>
      </c>
    </row>
    <row r="25" spans="1:3" ht="15" customHeight="1" x14ac:dyDescent="0.2">
      <c r="B25" s="15" t="s">
        <v>47</v>
      </c>
      <c r="C25" s="45">
        <v>0.31219999999999998</v>
      </c>
    </row>
    <row r="26" spans="1:3" ht="15" customHeight="1" x14ac:dyDescent="0.2">
      <c r="B26" s="15" t="s">
        <v>48</v>
      </c>
      <c r="C26" s="45">
        <v>2.9600000000000001E-2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0.35675533525383901</v>
      </c>
    </row>
    <row r="30" spans="1:3" ht="14.25" customHeight="1" x14ac:dyDescent="0.2">
      <c r="B30" s="25" t="s">
        <v>63</v>
      </c>
      <c r="C30" s="99">
        <v>6.5910586704521698E-2</v>
      </c>
    </row>
    <row r="31" spans="1:3" ht="14.25" customHeight="1" x14ac:dyDescent="0.2">
      <c r="B31" s="25" t="s">
        <v>10</v>
      </c>
      <c r="C31" s="99">
        <v>9.262041217609189E-2</v>
      </c>
    </row>
    <row r="32" spans="1:3" ht="14.25" customHeight="1" x14ac:dyDescent="0.2">
      <c r="B32" s="25" t="s">
        <v>11</v>
      </c>
      <c r="C32" s="99">
        <v>0.48471366586554798</v>
      </c>
    </row>
    <row r="33" spans="1:5" ht="13.15" customHeight="1" x14ac:dyDescent="0.2">
      <c r="B33" s="27" t="s">
        <v>60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6.1573833137445604</v>
      </c>
    </row>
    <row r="38" spans="1:5" ht="15" customHeight="1" x14ac:dyDescent="0.2">
      <c r="B38" s="11" t="s">
        <v>35</v>
      </c>
      <c r="C38" s="43">
        <v>7.5435707882581999</v>
      </c>
      <c r="D38" s="12"/>
      <c r="E38" s="13"/>
    </row>
    <row r="39" spans="1:5" ht="15" customHeight="1" x14ac:dyDescent="0.2">
      <c r="B39" s="11" t="s">
        <v>61</v>
      </c>
      <c r="C39" s="43">
        <v>8.6192212346124695</v>
      </c>
      <c r="D39" s="12"/>
      <c r="E39" s="12"/>
    </row>
    <row r="40" spans="1:5" ht="15" customHeight="1" x14ac:dyDescent="0.2">
      <c r="B40" s="11" t="s">
        <v>36</v>
      </c>
      <c r="C40" s="100">
        <v>0.27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4.4836800459999999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7.6683000000000003E-3</v>
      </c>
      <c r="D45" s="12"/>
    </row>
    <row r="46" spans="1:5" ht="15.75" customHeight="1" x14ac:dyDescent="0.2">
      <c r="B46" s="11" t="s">
        <v>51</v>
      </c>
      <c r="C46" s="45">
        <v>7.7032299999999998E-2</v>
      </c>
      <c r="D46" s="12"/>
    </row>
    <row r="47" spans="1:5" ht="15.75" customHeight="1" x14ac:dyDescent="0.2">
      <c r="B47" s="11" t="s">
        <v>59</v>
      </c>
      <c r="C47" s="45">
        <v>5.80098E-2</v>
      </c>
      <c r="D47" s="12"/>
      <c r="E47" s="13"/>
    </row>
    <row r="48" spans="1:5" ht="15" customHeight="1" x14ac:dyDescent="0.2">
      <c r="B48" s="11" t="s">
        <v>58</v>
      </c>
      <c r="C48" s="46">
        <v>0.85728959999999998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3.2</v>
      </c>
      <c r="D51" s="12"/>
    </row>
    <row r="52" spans="1:4" ht="15" customHeight="1" x14ac:dyDescent="0.2">
      <c r="B52" s="11" t="s">
        <v>13</v>
      </c>
      <c r="C52" s="100">
        <v>3.2</v>
      </c>
    </row>
    <row r="53" spans="1:4" ht="15.75" customHeight="1" x14ac:dyDescent="0.2">
      <c r="B53" s="11" t="s">
        <v>16</v>
      </c>
      <c r="C53" s="100">
        <v>3.2</v>
      </c>
    </row>
    <row r="54" spans="1:4" ht="15.75" customHeight="1" x14ac:dyDescent="0.2">
      <c r="B54" s="11" t="s">
        <v>14</v>
      </c>
      <c r="C54" s="100">
        <v>3.2</v>
      </c>
    </row>
    <row r="55" spans="1:4" ht="15.75" customHeight="1" x14ac:dyDescent="0.2">
      <c r="B55" s="11" t="s">
        <v>15</v>
      </c>
      <c r="C55" s="100">
        <v>3.2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1.9375E-2</v>
      </c>
    </row>
    <row r="59" spans="1:4" ht="15.75" customHeight="1" x14ac:dyDescent="0.2">
      <c r="B59" s="11" t="s">
        <v>40</v>
      </c>
      <c r="C59" s="45">
        <v>0.54813400000000001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7.4772848999999905E-2</v>
      </c>
    </row>
    <row r="63" spans="1:4" ht="15.75" customHeight="1" x14ac:dyDescent="0.2">
      <c r="A63" s="4"/>
    </row>
  </sheetData>
  <sheetProtection algorithmName="SHA-512" hashValue="wEwOGOen56qAyu+EZ9rCtRi5qBOS0sO6s+d7BKjPdT0hgWW0ciR1IOdE8Q4ukfe/3lgYAEzt6MD1/tfkEtq9qw==" saltValue="MmabzUtC8x9p4yvOmYZ3+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0.63209012076205195</v>
      </c>
      <c r="C2" s="98">
        <v>0.95</v>
      </c>
      <c r="D2" s="56">
        <v>107.0201908947332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40.978199545296739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1182.463810200042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1.727104628102593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14.11049898909264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14.11049898909264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14.11049898909264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14.11049898909264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14.11049898909264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14.11049898909264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0.75127765838598504</v>
      </c>
      <c r="C16" s="98">
        <v>0.95</v>
      </c>
      <c r="D16" s="56">
        <v>1.817264788987992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27.02885669161574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27.02885669161574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0.20890825269999999</v>
      </c>
      <c r="C21" s="98">
        <v>0.95</v>
      </c>
      <c r="D21" s="56">
        <v>17.591217247758362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24.926085555919201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3.2008066180000003E-2</v>
      </c>
      <c r="C23" s="98">
        <v>0.95</v>
      </c>
      <c r="D23" s="56">
        <v>4.9657873780366408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0.89337655369133406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0.61467118137531007</v>
      </c>
      <c r="C27" s="98">
        <v>0.95</v>
      </c>
      <c r="D27" s="56">
        <v>19.66637718058168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0.56282257079999998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225.46212730893359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0.86388676042059953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0.22471399</v>
      </c>
      <c r="C32" s="98">
        <v>0.95</v>
      </c>
      <c r="D32" s="56">
        <v>4.0149037192341366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0.97818360252186098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4.8103308680000012E-2</v>
      </c>
      <c r="C38" s="98">
        <v>0.95</v>
      </c>
      <c r="D38" s="56">
        <v>6.1634669588090496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0.75648277279999998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e3/pfNGJ/ofFvkCYr0B5LDZDMcda421KijuSF7NxJ3x+yIyoFirPo+fURJuBViijP+tLrJslCkyD1qPbUVZgXw==" saltValue="k5j4EmmqqqSDM4Ec4eZsa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mXiIqtgtSF7vL8JEyzvnZWFBoCzGmhIz6O3yBFPfk3FhSWsLwu0Mm4nLv5qk6SuCTuSQ3yln9mOIFP0dS0FcEA==" saltValue="Hm8MrU4Ql+IrvLzH3Qo+7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J7QnQFtp88WjbSgDwkliOxGjE7VEdylMUyXGFKC2UtjV+wSTGzPFa3tve0l+t17yuOt1tUxP4gO1TuIfSiEGaA==" saltValue="LaNFMS8Sh9hDbSMJNZw0y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">
      <c r="A3" s="3" t="s">
        <v>6</v>
      </c>
      <c r="B3" s="21">
        <f>frac_mam_1month * 2.6</f>
        <v>3.9589771000000003E-2</v>
      </c>
      <c r="C3" s="21">
        <f>frac_mam_1_5months * 2.6</f>
        <v>3.9589771000000003E-2</v>
      </c>
      <c r="D3" s="21">
        <f>frac_mam_6_11months * 2.6</f>
        <v>1.107064348E-2</v>
      </c>
      <c r="E3" s="21">
        <f>frac_mam_12_23months * 2.6</f>
        <v>4.9481507399999999E-2</v>
      </c>
      <c r="F3" s="21">
        <f>frac_mam_24_59months * 2.6</f>
        <v>4.7725904200000009E-2</v>
      </c>
    </row>
    <row r="4" spans="1:6" ht="15.75" customHeight="1" x14ac:dyDescent="0.2">
      <c r="A4" s="3" t="s">
        <v>207</v>
      </c>
      <c r="B4" s="21">
        <f>frac_sam_1month * 2.6</f>
        <v>4.7193848000000004E-3</v>
      </c>
      <c r="C4" s="21">
        <f>frac_sam_1_5months * 2.6</f>
        <v>4.7193848000000004E-3</v>
      </c>
      <c r="D4" s="21">
        <f>frac_sam_6_11months * 2.6</f>
        <v>0</v>
      </c>
      <c r="E4" s="21">
        <f>frac_sam_12_23months * 2.6</f>
        <v>1.139856432E-2</v>
      </c>
      <c r="F4" s="21">
        <f>frac_sam_24_59months * 2.6</f>
        <v>1.3172276780000001E-3</v>
      </c>
    </row>
  </sheetData>
  <sheetProtection algorithmName="SHA-512" hashValue="wmFmjPYT4vLcPHEO8tukSTOAsDkeCoPi0enxJ6eCErURgkJRjEiIvT3Yi20Fn8onDm01sXrmmbS6VdY/dXNADw==" saltValue="aS89ygTfqugVoSA+VY/Gw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1.4E-2</v>
      </c>
      <c r="E2" s="60">
        <f>food_insecure</f>
        <v>1.4E-2</v>
      </c>
      <c r="F2" s="60">
        <f>food_insecure</f>
        <v>1.4E-2</v>
      </c>
      <c r="G2" s="60">
        <f>food_insecure</f>
        <v>1.4E-2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1.4E-2</v>
      </c>
      <c r="F5" s="60">
        <f>food_insecure</f>
        <v>1.4E-2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1.4E-2</v>
      </c>
      <c r="F8" s="60">
        <f>food_insecure</f>
        <v>1.4E-2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1.4E-2</v>
      </c>
      <c r="F9" s="60">
        <f>food_insecure</f>
        <v>1.4E-2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0.77200000000000002</v>
      </c>
      <c r="E10" s="60">
        <f>IF(ISBLANK(comm_deliv), frac_children_health_facility,1)</f>
        <v>0.77200000000000002</v>
      </c>
      <c r="F10" s="60">
        <f>IF(ISBLANK(comm_deliv), frac_children_health_facility,1)</f>
        <v>0.77200000000000002</v>
      </c>
      <c r="G10" s="60">
        <f>IF(ISBLANK(comm_deliv), frac_children_health_facility,1)</f>
        <v>0.77200000000000002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1.4E-2</v>
      </c>
      <c r="I15" s="60">
        <f>food_insecure</f>
        <v>1.4E-2</v>
      </c>
      <c r="J15" s="60">
        <f>food_insecure</f>
        <v>1.4E-2</v>
      </c>
      <c r="K15" s="60">
        <f>food_insecure</f>
        <v>1.4E-2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0.97599999999999998</v>
      </c>
      <c r="I18" s="60">
        <f>frac_PW_health_facility</f>
        <v>0.97599999999999998</v>
      </c>
      <c r="J18" s="60">
        <f>frac_PW_health_facility</f>
        <v>0.97599999999999998</v>
      </c>
      <c r="K18" s="60">
        <f>frac_PW_health_facility</f>
        <v>0.97599999999999998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0.109</v>
      </c>
      <c r="M24" s="60">
        <f>famplan_unmet_need</f>
        <v>0.109</v>
      </c>
      <c r="N24" s="60">
        <f>famplan_unmet_need</f>
        <v>0.109</v>
      </c>
      <c r="O24" s="60">
        <f>famplan_unmet_need</f>
        <v>0.109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7.6639699075317175E-2</v>
      </c>
      <c r="M25" s="60">
        <f>(1-food_insecure)*(0.49)+food_insecure*(0.7)</f>
        <v>0.49293999999999993</v>
      </c>
      <c r="N25" s="60">
        <f>(1-food_insecure)*(0.49)+food_insecure*(0.7)</f>
        <v>0.49293999999999993</v>
      </c>
      <c r="O25" s="60">
        <f>(1-food_insecure)*(0.49)+food_insecure*(0.7)</f>
        <v>0.49293999999999993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3.284558531799308E-2</v>
      </c>
      <c r="M26" s="60">
        <f>(1-food_insecure)*(0.21)+food_insecure*(0.3)</f>
        <v>0.21126</v>
      </c>
      <c r="N26" s="60">
        <f>(1-food_insecure)*(0.21)+food_insecure*(0.3)</f>
        <v>0.21126</v>
      </c>
      <c r="O26" s="60">
        <f>(1-food_insecure)*(0.21)+food_insecure*(0.3)</f>
        <v>0.21126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4.5989416534423712E-2</v>
      </c>
      <c r="M27" s="60">
        <f>(1-food_insecure)*(0.3)</f>
        <v>0.29580000000000001</v>
      </c>
      <c r="N27" s="60">
        <f>(1-food_insecure)*(0.3)</f>
        <v>0.29580000000000001</v>
      </c>
      <c r="O27" s="60">
        <f>(1-food_insecure)*(0.3)</f>
        <v>0.29580000000000001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0.84452529907226603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R+cxYfTZzB940Mwv5nF7vU4VblQ8LNTpeAosTVjpAxcEEPyG4u6BXeOtZxmnEz+5ece1G28E5qCUMNnqafdGbA==" saltValue="WRQAYmRvUAnDnLuSCPP44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JmgcV3DYy7a90sJohDonUPQBalITekTsxcfjaO5iSUOJatv8jIxmz2Bni4V6rYIBUMhkgrBrt1UyYoowVM+9zg==" saltValue="EFN8YoEPDI3U4AbntVswj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O7k5HUmcD3LSvJR/6rXRu2gpn/yBF0k43iI/wo1KjLNVB9A5ROM/1CafC/AEOtiLHxjfY6KHz5fILIqFc9mZgQ==" saltValue="6OfY+Y18fPPkTrRKZKDnt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KJ9kxVEdwAeSn8311wIz5F1yG/DnZ4+OjmnwOfmVKZgEscmHTVy/GH8rzusqQZRLv+ezTbNdaUmV+u95GR831Q==" saltValue="QY0nP6W0B3t2bX2VzKAH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zqGhmbNjXt1J5XMBDeLjd1FUwEqFh01ju48eSvGqdnPBqToOlMZnY5effaPFVXEfWB0HIrRjjdshD+N7VAPtdA==" saltValue="3rYzXN1Fp3CXIeDnAUojo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Gyp4xvQq6vcLJ/M1p6MFmqh1WEG/vnH0o+BzrUF61KC5mKgCjAmQNH1BM+5fMLpKeIBE1Eqgxw6I4I7SO8SiOw==" saltValue="Rz8Wa7jYHOygCt++T1P+Q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66865.478399999993</v>
      </c>
      <c r="C2" s="49">
        <v>176000</v>
      </c>
      <c r="D2" s="49">
        <v>394000</v>
      </c>
      <c r="E2" s="49">
        <v>402000</v>
      </c>
      <c r="F2" s="49">
        <v>332000</v>
      </c>
      <c r="G2" s="17">
        <f t="shared" ref="G2:G11" si="0">C2+D2+E2+F2</f>
        <v>1304000</v>
      </c>
      <c r="H2" s="17">
        <f t="shared" ref="H2:H11" si="1">(B2 + stillbirth*B2/(1000-stillbirth))/(1-abortion)</f>
        <v>76325.718281875234</v>
      </c>
      <c r="I2" s="17">
        <f t="shared" ref="I2:I11" si="2">G2-H2</f>
        <v>1227674.2817181249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66313.457999999999</v>
      </c>
      <c r="C3" s="50">
        <v>176000</v>
      </c>
      <c r="D3" s="50">
        <v>389000</v>
      </c>
      <c r="E3" s="50">
        <v>405000</v>
      </c>
      <c r="F3" s="50">
        <v>340000</v>
      </c>
      <c r="G3" s="17">
        <f t="shared" si="0"/>
        <v>1310000</v>
      </c>
      <c r="H3" s="17">
        <f t="shared" si="1"/>
        <v>75695.597111064213</v>
      </c>
      <c r="I3" s="17">
        <f t="shared" si="2"/>
        <v>1234304.4028889358</v>
      </c>
    </row>
    <row r="4" spans="1:9" ht="15.75" customHeight="1" x14ac:dyDescent="0.2">
      <c r="A4" s="5">
        <f t="shared" si="3"/>
        <v>2023</v>
      </c>
      <c r="B4" s="49">
        <v>65717.938000000009</v>
      </c>
      <c r="C4" s="50">
        <v>177000</v>
      </c>
      <c r="D4" s="50">
        <v>384000</v>
      </c>
      <c r="E4" s="50">
        <v>407000</v>
      </c>
      <c r="F4" s="50">
        <v>349000</v>
      </c>
      <c r="G4" s="17">
        <f t="shared" si="0"/>
        <v>1317000</v>
      </c>
      <c r="H4" s="17">
        <f t="shared" si="1"/>
        <v>75015.821943984542</v>
      </c>
      <c r="I4" s="17">
        <f t="shared" si="2"/>
        <v>1241984.1780560154</v>
      </c>
    </row>
    <row r="5" spans="1:9" ht="15.75" customHeight="1" x14ac:dyDescent="0.2">
      <c r="A5" s="5">
        <f t="shared" si="3"/>
        <v>2024</v>
      </c>
      <c r="B5" s="49">
        <v>65092.705800000011</v>
      </c>
      <c r="C5" s="50">
        <v>177000</v>
      </c>
      <c r="D5" s="50">
        <v>378000</v>
      </c>
      <c r="E5" s="50">
        <v>409000</v>
      </c>
      <c r="F5" s="50">
        <v>357000</v>
      </c>
      <c r="G5" s="17">
        <f t="shared" si="0"/>
        <v>1321000</v>
      </c>
      <c r="H5" s="17">
        <f t="shared" si="1"/>
        <v>74302.130845081745</v>
      </c>
      <c r="I5" s="17">
        <f t="shared" si="2"/>
        <v>1246697.8691549182</v>
      </c>
    </row>
    <row r="6" spans="1:9" ht="15.75" customHeight="1" x14ac:dyDescent="0.2">
      <c r="A6" s="5">
        <f t="shared" si="3"/>
        <v>2025</v>
      </c>
      <c r="B6" s="49">
        <v>64438.406999999999</v>
      </c>
      <c r="C6" s="50">
        <v>177000</v>
      </c>
      <c r="D6" s="50">
        <v>374000</v>
      </c>
      <c r="E6" s="50">
        <v>409000</v>
      </c>
      <c r="F6" s="50">
        <v>365000</v>
      </c>
      <c r="G6" s="17">
        <f t="shared" si="0"/>
        <v>1325000</v>
      </c>
      <c r="H6" s="17">
        <f t="shared" si="1"/>
        <v>73555.260754925184</v>
      </c>
      <c r="I6" s="17">
        <f t="shared" si="2"/>
        <v>1251444.7392450748</v>
      </c>
    </row>
    <row r="7" spans="1:9" ht="15.75" customHeight="1" x14ac:dyDescent="0.2">
      <c r="A7" s="5">
        <f t="shared" si="3"/>
        <v>2026</v>
      </c>
      <c r="B7" s="49">
        <v>63988.183199999999</v>
      </c>
      <c r="C7" s="50">
        <v>177000</v>
      </c>
      <c r="D7" s="50">
        <v>370000</v>
      </c>
      <c r="E7" s="50">
        <v>409000</v>
      </c>
      <c r="F7" s="50">
        <v>373000</v>
      </c>
      <c r="G7" s="17">
        <f t="shared" si="0"/>
        <v>1329000</v>
      </c>
      <c r="H7" s="17">
        <f t="shared" si="1"/>
        <v>73041.338537588657</v>
      </c>
      <c r="I7" s="17">
        <f t="shared" si="2"/>
        <v>1255958.6614624113</v>
      </c>
    </row>
    <row r="8" spans="1:9" ht="15.75" customHeight="1" x14ac:dyDescent="0.2">
      <c r="A8" s="5">
        <f t="shared" si="3"/>
        <v>2027</v>
      </c>
      <c r="B8" s="49">
        <v>63501.413399999998</v>
      </c>
      <c r="C8" s="50">
        <v>176000</v>
      </c>
      <c r="D8" s="50">
        <v>366000</v>
      </c>
      <c r="E8" s="50">
        <v>408000</v>
      </c>
      <c r="F8" s="50">
        <v>380000</v>
      </c>
      <c r="G8" s="17">
        <f t="shared" si="0"/>
        <v>1330000</v>
      </c>
      <c r="H8" s="17">
        <f t="shared" si="1"/>
        <v>72485.699730958586</v>
      </c>
      <c r="I8" s="17">
        <f t="shared" si="2"/>
        <v>1257514.3002690414</v>
      </c>
    </row>
    <row r="9" spans="1:9" ht="15.75" customHeight="1" x14ac:dyDescent="0.2">
      <c r="A9" s="5">
        <f t="shared" si="3"/>
        <v>2028</v>
      </c>
      <c r="B9" s="49">
        <v>62990.892199999987</v>
      </c>
      <c r="C9" s="50">
        <v>174000</v>
      </c>
      <c r="D9" s="50">
        <v>362000</v>
      </c>
      <c r="E9" s="50">
        <v>406000</v>
      </c>
      <c r="F9" s="50">
        <v>387000</v>
      </c>
      <c r="G9" s="17">
        <f t="shared" si="0"/>
        <v>1329000</v>
      </c>
      <c r="H9" s="17">
        <f t="shared" si="1"/>
        <v>71902.949136473559</v>
      </c>
      <c r="I9" s="17">
        <f t="shared" si="2"/>
        <v>1257097.0508635265</v>
      </c>
    </row>
    <row r="10" spans="1:9" ht="15.75" customHeight="1" x14ac:dyDescent="0.2">
      <c r="A10" s="5">
        <f t="shared" si="3"/>
        <v>2029</v>
      </c>
      <c r="B10" s="49">
        <v>62457.133199999989</v>
      </c>
      <c r="C10" s="50">
        <v>173000</v>
      </c>
      <c r="D10" s="50">
        <v>359000</v>
      </c>
      <c r="E10" s="50">
        <v>404000</v>
      </c>
      <c r="F10" s="50">
        <v>392000</v>
      </c>
      <c r="G10" s="17">
        <f t="shared" si="0"/>
        <v>1328000</v>
      </c>
      <c r="H10" s="17">
        <f t="shared" si="1"/>
        <v>71293.673019121867</v>
      </c>
      <c r="I10" s="17">
        <f t="shared" si="2"/>
        <v>1256706.3269808781</v>
      </c>
    </row>
    <row r="11" spans="1:9" ht="15.75" customHeight="1" x14ac:dyDescent="0.2">
      <c r="A11" s="5">
        <f t="shared" si="3"/>
        <v>2030</v>
      </c>
      <c r="B11" s="49">
        <v>61889.225000000013</v>
      </c>
      <c r="C11" s="50">
        <v>172000</v>
      </c>
      <c r="D11" s="50">
        <v>356000</v>
      </c>
      <c r="E11" s="50">
        <v>400000</v>
      </c>
      <c r="F11" s="50">
        <v>397000</v>
      </c>
      <c r="G11" s="17">
        <f t="shared" si="0"/>
        <v>1325000</v>
      </c>
      <c r="H11" s="17">
        <f t="shared" si="1"/>
        <v>70645.416215755235</v>
      </c>
      <c r="I11" s="17">
        <f t="shared" si="2"/>
        <v>1254354.5837842447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HaYaC4MJ1/HZ/L9pw5vAAplzqTMGSDccMBCm6uMDbbXKn8awZvEcgaFMObOaDhLt5jYtMPNuzgtaz5uar4QQjg==" saltValue="WyNaoomkPVrDJz1CBTmM4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Zr81AOStAYKnZAlo8zApW0hAV+0tpEBsGCFBJ9zdODGOBlkWygLxS3YnH8n+G25oC9FUB2gIBqH7HEjR0Bq9wA==" saltValue="LgxkyGMrLX2znXCJiDh5T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81/h0nVCfMZSCApAFg4w74LI4feWGzfGPey5fjzN3Zi9youZEZZh9sDPysEKajBdPd/Lrvwf/JquufNh59CPzg==" saltValue="vWgD8mqGmH/m7wJovnlup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eTfZF5V8DGECMY4Ff49q+AQOddJKrCggZkBr/SRK+0lOWSY8VPUjkL4QI8Ba2ht4MArQ8O5wU4gE12gZLN6JZg==" saltValue="F8uM3alQ2tqsNn27/kGX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/qltbVW4lYLfpUFrUHs39jrkOcAn9FYchyh3+tJ8+TWKHTX8c19C0K2QAE/WhQNNvShoX41XZuQ1N5OXyDxBHw==" saltValue="fIUEvcFpJmtiLYU9ilY2r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wVv5ZCpZ53GEN/ks2cZcUgkH4I7Aqf73jVR2gGnk1jN4UvSm3SSz/X7t4htzabOQ8gOvs5q4hNGVLMjOgTZJHQ==" saltValue="/8Y2jpaeu4dgD3bIA4I+G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bqM9gWWBhYjBxImGFVnnw32BS39nJ1/TWXcU2LOq00RcrdE0Va13XHIOThjg4IkDKG9Pud6iKXu1T82ls6WkRw==" saltValue="zc5X9IkqxqHTiAYjR4ST+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DrqQWixzEwTVeO3mbu5MYsURwG/ohEjG/UxG9SnaCE/+s7Zm3QR6KSC7TNHkqcG6lSZ+kKqZRsSHR8cC2eblJw==" saltValue="BdxfdwHl7A+JGYjByLO8H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7VNXBZT+zedk6pTicxwX7fLAXjOmJ7JaPLLAmEJbvDFhPq0ezvv1F4YOSF6T9jEqSsdEOjmeULD5neTYSGqn2Q==" saltValue="A+PoW2nly6BkCzYF+dk5J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A1Fr/c3cI6LUtr6y0BfJ0JSRv4w+eH96wgRI7vXzTXUozcIt1BgP9lq5oLtoc0ozfVgSszxZUpr8S4bG15DQ1w==" saltValue="KwgxlZdzy98O8dAztuuEb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0</v>
      </c>
    </row>
    <row r="4" spans="1:8" ht="15.75" customHeight="1" x14ac:dyDescent="0.2">
      <c r="B4" s="19" t="s">
        <v>97</v>
      </c>
      <c r="C4" s="101">
        <v>2.236840100862876E-2</v>
      </c>
    </row>
    <row r="5" spans="1:8" ht="15.75" customHeight="1" x14ac:dyDescent="0.2">
      <c r="B5" s="19" t="s">
        <v>95</v>
      </c>
      <c r="C5" s="101">
        <v>2.7828901869366401E-2</v>
      </c>
    </row>
    <row r="6" spans="1:8" ht="15.75" customHeight="1" x14ac:dyDescent="0.2">
      <c r="B6" s="19" t="s">
        <v>91</v>
      </c>
      <c r="C6" s="101">
        <v>0.10535892521549731</v>
      </c>
    </row>
    <row r="7" spans="1:8" ht="15.75" customHeight="1" x14ac:dyDescent="0.2">
      <c r="B7" s="19" t="s">
        <v>96</v>
      </c>
      <c r="C7" s="101">
        <v>0.40982172882225898</v>
      </c>
    </row>
    <row r="8" spans="1:8" ht="15.75" customHeight="1" x14ac:dyDescent="0.2">
      <c r="B8" s="19" t="s">
        <v>98</v>
      </c>
      <c r="C8" s="101">
        <v>0</v>
      </c>
    </row>
    <row r="9" spans="1:8" ht="15.75" customHeight="1" x14ac:dyDescent="0.2">
      <c r="B9" s="19" t="s">
        <v>92</v>
      </c>
      <c r="C9" s="101">
        <v>0.39392497298393803</v>
      </c>
    </row>
    <row r="10" spans="1:8" ht="15.75" customHeight="1" x14ac:dyDescent="0.2">
      <c r="B10" s="19" t="s">
        <v>94</v>
      </c>
      <c r="C10" s="101">
        <v>4.0697070100310678E-2</v>
      </c>
    </row>
    <row r="11" spans="1:8" ht="15.75" customHeight="1" x14ac:dyDescent="0.2">
      <c r="B11" s="27" t="s">
        <v>60</v>
      </c>
      <c r="C11" s="48">
        <f>SUM(C3:C10)</f>
        <v>1.0000000000000002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3.0100854799463211E-2</v>
      </c>
      <c r="D14" s="55">
        <v>3.0100854799463211E-2</v>
      </c>
      <c r="E14" s="55">
        <v>3.0100854799463211E-2</v>
      </c>
      <c r="F14" s="55">
        <v>3.0100854799463211E-2</v>
      </c>
    </row>
    <row r="15" spans="1:8" ht="15.75" customHeight="1" x14ac:dyDescent="0.2">
      <c r="B15" s="19" t="s">
        <v>102</v>
      </c>
      <c r="C15" s="101">
        <v>7.4836490071676878E-2</v>
      </c>
      <c r="D15" s="101">
        <v>7.4836490071676878E-2</v>
      </c>
      <c r="E15" s="101">
        <v>7.4836490071676878E-2</v>
      </c>
      <c r="F15" s="101">
        <v>7.4836490071676878E-2</v>
      </c>
    </row>
    <row r="16" spans="1:8" ht="15.75" customHeight="1" x14ac:dyDescent="0.2">
      <c r="B16" s="19" t="s">
        <v>2</v>
      </c>
      <c r="C16" s="101">
        <v>2.0367798948042939E-2</v>
      </c>
      <c r="D16" s="101">
        <v>2.0367798948042939E-2</v>
      </c>
      <c r="E16" s="101">
        <v>2.0367798948042939E-2</v>
      </c>
      <c r="F16" s="101">
        <v>2.0367798948042939E-2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2.1566323907605458E-3</v>
      </c>
      <c r="D19" s="101">
        <v>2.1566323907605458E-3</v>
      </c>
      <c r="E19" s="101">
        <v>2.1566323907605458E-3</v>
      </c>
      <c r="F19" s="101">
        <v>2.1566323907605458E-3</v>
      </c>
    </row>
    <row r="20" spans="1:8" ht="15.75" customHeight="1" x14ac:dyDescent="0.2">
      <c r="B20" s="19" t="s">
        <v>79</v>
      </c>
      <c r="C20" s="101">
        <v>0.14952667703961739</v>
      </c>
      <c r="D20" s="101">
        <v>0.14952667703961739</v>
      </c>
      <c r="E20" s="101">
        <v>0.14952667703961739</v>
      </c>
      <c r="F20" s="101">
        <v>0.14952667703961739</v>
      </c>
    </row>
    <row r="21" spans="1:8" ht="15.75" customHeight="1" x14ac:dyDescent="0.2">
      <c r="B21" s="19" t="s">
        <v>88</v>
      </c>
      <c r="C21" s="101">
        <v>9.6059007995162413E-2</v>
      </c>
      <c r="D21" s="101">
        <v>9.6059007995162413E-2</v>
      </c>
      <c r="E21" s="101">
        <v>9.6059007995162413E-2</v>
      </c>
      <c r="F21" s="101">
        <v>9.6059007995162413E-2</v>
      </c>
    </row>
    <row r="22" spans="1:8" ht="15.75" customHeight="1" x14ac:dyDescent="0.2">
      <c r="B22" s="19" t="s">
        <v>99</v>
      </c>
      <c r="C22" s="101">
        <v>0.62695253875527646</v>
      </c>
      <c r="D22" s="101">
        <v>0.62695253875527646</v>
      </c>
      <c r="E22" s="101">
        <v>0.62695253875527646</v>
      </c>
      <c r="F22" s="101">
        <v>0.62695253875527646</v>
      </c>
    </row>
    <row r="23" spans="1:8" ht="15.75" customHeight="1" x14ac:dyDescent="0.2">
      <c r="B23" s="27" t="s">
        <v>60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4.3847376999999993E-2</v>
      </c>
    </row>
    <row r="27" spans="1:8" ht="15.75" customHeight="1" x14ac:dyDescent="0.2">
      <c r="B27" s="19" t="s">
        <v>89</v>
      </c>
      <c r="C27" s="101">
        <v>3.4044087000000001E-2</v>
      </c>
    </row>
    <row r="28" spans="1:8" ht="15.75" customHeight="1" x14ac:dyDescent="0.2">
      <c r="B28" s="19" t="s">
        <v>103</v>
      </c>
      <c r="C28" s="101">
        <v>4.3283602999999997E-2</v>
      </c>
    </row>
    <row r="29" spans="1:8" ht="15.75" customHeight="1" x14ac:dyDescent="0.2">
      <c r="B29" s="19" t="s">
        <v>86</v>
      </c>
      <c r="C29" s="101">
        <v>0.177569167</v>
      </c>
    </row>
    <row r="30" spans="1:8" ht="15.75" customHeight="1" x14ac:dyDescent="0.2">
      <c r="B30" s="19" t="s">
        <v>4</v>
      </c>
      <c r="C30" s="101">
        <v>3.1893660999999997E-2</v>
      </c>
    </row>
    <row r="31" spans="1:8" ht="15.75" customHeight="1" x14ac:dyDescent="0.2">
      <c r="B31" s="19" t="s">
        <v>80</v>
      </c>
      <c r="C31" s="101">
        <v>9.3503550000000005E-2</v>
      </c>
    </row>
    <row r="32" spans="1:8" ht="15.75" customHeight="1" x14ac:dyDescent="0.2">
      <c r="B32" s="19" t="s">
        <v>85</v>
      </c>
      <c r="C32" s="101">
        <v>7.8392814000000005E-2</v>
      </c>
    </row>
    <row r="33" spans="2:3" ht="15.75" customHeight="1" x14ac:dyDescent="0.2">
      <c r="B33" s="19" t="s">
        <v>100</v>
      </c>
      <c r="C33" s="101">
        <v>0.15751110600000001</v>
      </c>
    </row>
    <row r="34" spans="2:3" ht="15.75" customHeight="1" x14ac:dyDescent="0.2">
      <c r="B34" s="19" t="s">
        <v>87</v>
      </c>
      <c r="C34" s="101">
        <v>0.33995463500000001</v>
      </c>
    </row>
    <row r="35" spans="2:3" ht="15.75" customHeight="1" x14ac:dyDescent="0.2">
      <c r="B35" s="27" t="s">
        <v>60</v>
      </c>
      <c r="C35" s="48">
        <f>SUM(C26:C34)</f>
        <v>1</v>
      </c>
    </row>
  </sheetData>
  <sheetProtection algorithmName="SHA-512" hashValue="0XOIhbyGaSsFXkFryXoFlkEVH7yE7YSqDWz8XejkA5lYlu2spr7qv3+JNZBbE3UBZI4Y82lyK2RX7V6EzkaKrA==" saltValue="OudsCDtLXLMe8JgTKdtPR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0.93833866148798106</v>
      </c>
      <c r="D2" s="52">
        <f>IFERROR(1-_xlfn.NORM.DIST(_xlfn.NORM.INV(SUM(D4:D5), 0, 1) + 1, 0, 1, TRUE), "")</f>
        <v>0.93833866148798106</v>
      </c>
      <c r="E2" s="52">
        <f>IFERROR(1-_xlfn.NORM.DIST(_xlfn.NORM.INV(SUM(E4:E5), 0, 1) + 1, 0, 1, TRUE), "")</f>
        <v>0.97657259788527084</v>
      </c>
      <c r="F2" s="52">
        <f>IFERROR(1-_xlfn.NORM.DIST(_xlfn.NORM.INV(SUM(F4:F5), 0, 1) + 1, 0, 1, TRUE), "")</f>
        <v>0.76771322469849701</v>
      </c>
      <c r="G2" s="52">
        <f>IFERROR(1-_xlfn.NORM.DIST(_xlfn.NORM.INV(SUM(G4:G5), 0, 1) + 1, 0, 1, TRUE), "")</f>
        <v>0.76772724821307881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5.6134159912018915E-2</v>
      </c>
      <c r="D3" s="52">
        <f>IFERROR(_xlfn.NORM.DIST(_xlfn.NORM.INV(SUM(D4:D5), 0, 1) + 1, 0, 1, TRUE) - SUM(D4:D5), "")</f>
        <v>5.6134159912018915E-2</v>
      </c>
      <c r="E3" s="52">
        <f>IFERROR(_xlfn.NORM.DIST(_xlfn.NORM.INV(SUM(E4:E5), 0, 1) + 1, 0, 1, TRUE) - SUM(E4:E5), "")</f>
        <v>2.2021563114729165E-2</v>
      </c>
      <c r="F3" s="52">
        <f>IFERROR(_xlfn.NORM.DIST(_xlfn.NORM.INV(SUM(F4:F5), 0, 1) + 1, 0, 1, TRUE) - SUM(F4:F5), "")</f>
        <v>0.19059090600150297</v>
      </c>
      <c r="G3" s="52">
        <f>IFERROR(_xlfn.NORM.DIST(_xlfn.NORM.INV(SUM(G4:G5), 0, 1) + 1, 0, 1, TRUE) - SUM(G4:G5), "")</f>
        <v>0.19058097588692124</v>
      </c>
    </row>
    <row r="4" spans="1:15" ht="15.75" customHeight="1" x14ac:dyDescent="0.2">
      <c r="B4" s="5" t="s">
        <v>110</v>
      </c>
      <c r="C4" s="45">
        <v>5.5271786E-3</v>
      </c>
      <c r="D4" s="53">
        <v>5.5271786E-3</v>
      </c>
      <c r="E4" s="53">
        <v>0</v>
      </c>
      <c r="F4" s="53">
        <v>3.6424096000000003E-2</v>
      </c>
      <c r="G4" s="53">
        <v>3.7740078000000003E-2</v>
      </c>
    </row>
    <row r="5" spans="1:15" ht="15.75" customHeight="1" x14ac:dyDescent="0.2">
      <c r="B5" s="5" t="s">
        <v>106</v>
      </c>
      <c r="C5" s="45">
        <v>0</v>
      </c>
      <c r="D5" s="53">
        <v>0</v>
      </c>
      <c r="E5" s="53">
        <v>1.4058390000000001E-3</v>
      </c>
      <c r="F5" s="53">
        <v>5.2717733000000001E-3</v>
      </c>
      <c r="G5" s="53">
        <v>3.9516979000000004E-3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0.86844633964209028</v>
      </c>
      <c r="D8" s="52">
        <f>IFERROR(1-_xlfn.NORM.DIST(_xlfn.NORM.INV(SUM(D10:D11), 0, 1) + 1, 0, 1, TRUE), "")</f>
        <v>0.86844633964209028</v>
      </c>
      <c r="E8" s="52">
        <f>IFERROR(1-_xlfn.NORM.DIST(_xlfn.NORM.INV(SUM(E10:E11), 0, 1) + 1, 0, 1, TRUE), "")</f>
        <v>0.94854441272980083</v>
      </c>
      <c r="F8" s="52">
        <f>IFERROR(1-_xlfn.NORM.DIST(_xlfn.NORM.INV(SUM(F10:F11), 0, 1) + 1, 0, 1, TRUE), "")</f>
        <v>0.83838131374153957</v>
      </c>
      <c r="G8" s="52">
        <f>IFERROR(1-_xlfn.NORM.DIST(_xlfn.NORM.INV(SUM(G10:G11), 0, 1) + 1, 0, 1, TRUE), "")</f>
        <v>0.85944405584287498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0.11451167735790969</v>
      </c>
      <c r="D9" s="52">
        <f>IFERROR(_xlfn.NORM.DIST(_xlfn.NORM.INV(SUM(D10:D11), 0, 1) + 1, 0, 1, TRUE) - SUM(D10:D11), "")</f>
        <v>0.11451167735790969</v>
      </c>
      <c r="E9" s="52">
        <f>IFERROR(_xlfn.NORM.DIST(_xlfn.NORM.INV(SUM(E10:E11), 0, 1) + 1, 0, 1, TRUE) - SUM(E10:E11), "")</f>
        <v>4.7197647470199125E-2</v>
      </c>
      <c r="F9" s="52">
        <f>IFERROR(_xlfn.NORM.DIST(_xlfn.NORM.INV(SUM(F10:F11), 0, 1) + 1, 0, 1, TRUE) - SUM(F10:F11), "")</f>
        <v>0.13820327405846045</v>
      </c>
      <c r="G9" s="52">
        <f>IFERROR(_xlfn.NORM.DIST(_xlfn.NORM.INV(SUM(G10:G11), 0, 1) + 1, 0, 1, TRUE) - SUM(G10:G11), "")</f>
        <v>0.12169320112712502</v>
      </c>
    </row>
    <row r="10" spans="1:15" ht="15.75" customHeight="1" x14ac:dyDescent="0.2">
      <c r="B10" s="5" t="s">
        <v>107</v>
      </c>
      <c r="C10" s="45">
        <v>1.5226834999999999E-2</v>
      </c>
      <c r="D10" s="53">
        <v>1.5226834999999999E-2</v>
      </c>
      <c r="E10" s="53">
        <v>4.2579397999999999E-3</v>
      </c>
      <c r="F10" s="53">
        <v>1.9031348999999999E-2</v>
      </c>
      <c r="G10" s="53">
        <v>1.8356117000000002E-2</v>
      </c>
    </row>
    <row r="11" spans="1:15" ht="15.75" customHeight="1" x14ac:dyDescent="0.2">
      <c r="B11" s="5" t="s">
        <v>119</v>
      </c>
      <c r="C11" s="45">
        <v>1.8151479999999999E-3</v>
      </c>
      <c r="D11" s="53">
        <v>1.8151479999999999E-3</v>
      </c>
      <c r="E11" s="53">
        <v>0</v>
      </c>
      <c r="F11" s="53">
        <v>4.3840631999999997E-3</v>
      </c>
      <c r="G11" s="53">
        <v>5.0662603000000003E-4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0.11872693625</v>
      </c>
      <c r="D14" s="54">
        <v>0.10841147821200001</v>
      </c>
      <c r="E14" s="54">
        <v>0.10841147821200001</v>
      </c>
      <c r="F14" s="54">
        <v>0.15067343412</v>
      </c>
      <c r="G14" s="54">
        <v>0.15067343412</v>
      </c>
      <c r="H14" s="45">
        <v>0.247</v>
      </c>
      <c r="I14" s="55">
        <v>0.247</v>
      </c>
      <c r="J14" s="55">
        <v>0.247</v>
      </c>
      <c r="K14" s="55">
        <v>0.247</v>
      </c>
      <c r="L14" s="45">
        <v>0.14599999999999999</v>
      </c>
      <c r="M14" s="55">
        <v>0.14599999999999999</v>
      </c>
      <c r="N14" s="55">
        <v>0.14599999999999999</v>
      </c>
      <c r="O14" s="55">
        <v>0.14599999999999999</v>
      </c>
    </row>
    <row r="15" spans="1:15" ht="15.75" customHeight="1" x14ac:dyDescent="0.2">
      <c r="B15" s="11" t="s">
        <v>118</v>
      </c>
      <c r="C15" s="52">
        <f t="shared" ref="C15:O15" si="0">iron_deficiency_anaemia*C14</f>
        <v>6.5078270474457495E-2</v>
      </c>
      <c r="D15" s="52">
        <f t="shared" si="0"/>
        <v>5.9424017198256414E-2</v>
      </c>
      <c r="E15" s="52">
        <f t="shared" si="0"/>
        <v>5.9424017198256414E-2</v>
      </c>
      <c r="F15" s="52">
        <f t="shared" si="0"/>
        <v>8.2589232137932081E-2</v>
      </c>
      <c r="G15" s="52">
        <f t="shared" si="0"/>
        <v>8.2589232137932081E-2</v>
      </c>
      <c r="H15" s="52">
        <f t="shared" si="0"/>
        <v>0.13538909800000001</v>
      </c>
      <c r="I15" s="52">
        <f t="shared" si="0"/>
        <v>0.13538909800000001</v>
      </c>
      <c r="J15" s="52">
        <f t="shared" si="0"/>
        <v>0.13538909800000001</v>
      </c>
      <c r="K15" s="52">
        <f t="shared" si="0"/>
        <v>0.13538909800000001</v>
      </c>
      <c r="L15" s="52">
        <f t="shared" si="0"/>
        <v>8.0027563999999995E-2</v>
      </c>
      <c r="M15" s="52">
        <f t="shared" si="0"/>
        <v>8.0027563999999995E-2</v>
      </c>
      <c r="N15" s="52">
        <f t="shared" si="0"/>
        <v>8.0027563999999995E-2</v>
      </c>
      <c r="O15" s="52">
        <f t="shared" si="0"/>
        <v>8.0027563999999995E-2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l6LSIaDnHW0RF6yaGgEDMaZUURdGchZ3swLgkjtrLXPokF2YXSCWhvTmoxNi6C6lKxbwnEL0GymQlrL5BO5YGQ==" saltValue="Hg5qjSFTiAmSW0QrnAiY5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0.43854946140000001</v>
      </c>
      <c r="D2" s="53">
        <v>0.22471399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8.4647979999999998E-2</v>
      </c>
      <c r="D3" s="53">
        <v>0.14546853000000001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0.37770904999999999</v>
      </c>
      <c r="D4" s="53">
        <v>0.45987926000000001</v>
      </c>
      <c r="E4" s="53">
        <v>0.68089199066162098</v>
      </c>
      <c r="F4" s="53">
        <v>0.39779895544052102</v>
      </c>
      <c r="G4" s="53">
        <v>0</v>
      </c>
    </row>
    <row r="5" spans="1:7" x14ac:dyDescent="0.2">
      <c r="B5" s="3" t="s">
        <v>125</v>
      </c>
      <c r="C5" s="52">
        <v>9.9093484879999985E-2</v>
      </c>
      <c r="D5" s="52">
        <v>0.16993823999999999</v>
      </c>
      <c r="E5" s="52">
        <f>1-SUM(E2:E4)</f>
        <v>0.31910800933837902</v>
      </c>
      <c r="F5" s="52">
        <f>1-SUM(F2:F4)</f>
        <v>0.60220104455947898</v>
      </c>
      <c r="G5" s="52">
        <f>1-SUM(G2:G4)</f>
        <v>1</v>
      </c>
    </row>
  </sheetData>
  <sheetProtection algorithmName="SHA-512" hashValue="R3miBxPg2qgnivZBkE+KaViudLAGyCA97QxnrVFd9s+iYQtqZwuVCvslVSsxmCwVPeF/pnVcWk5vauw48IZv1Q==" saltValue="dQv7MNoA4YaiUidvroA3L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RpnzuKDQZ4CpIQ99qkOiTH1WtsmLsZvH2YF1E1Ku4iFfBBphfGwUwCPCuyWRO8wnp7MpHQYdsMIKXrKYSUYjTg==" saltValue="Rdput3QKFktN9+fMnKQ2W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a2fKOOaN89AE4iZ54w4sbCeYLS1dcre9ASqdnMEw5Y3zoU+61kmMWbnPKb6xc+0mF5vIH7yYMLByVDq6jsdfxQ==" saltValue="QQGhnz3gHyXsbbeR92hOA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WWXyJ5ursJC0wEXKQpx0tpYw0z7Fhw24rF2lGDp3t9Oi0+c9b/cX1b9LvPLa/K75PByOkjdf11YVJYxfHRJjNQ==" saltValue="qp2vljrjK8vz7mM6S181X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NbZF7GQJ/m8v7HFkoFliluxuPk+WfEt4WgKDt94S3sDe8j5Pf+xCStLAtnlbm+5v1faDrNYsKiti+a+e6v3UhQ==" saltValue="zDvqEjxW/kKyGGdCH1TCD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2023-01-27T02:23:29Z</dcterms:modified>
</cp:coreProperties>
</file>