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es\LiST countries\"/>
    </mc:Choice>
  </mc:AlternateContent>
  <xr:revisionPtr revIDLastSave="0" documentId="8_{163F81B7-CEF0-44DC-8158-54E2EC7886B0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I39" i="2" s="1"/>
  <c r="G39" i="2"/>
  <c r="H38" i="2"/>
  <c r="I38" i="2" s="1"/>
  <c r="G38" i="2"/>
  <c r="A37" i="2"/>
  <c r="A33" i="2"/>
  <c r="A32" i="2"/>
  <c r="A29" i="2"/>
  <c r="A24" i="2"/>
  <c r="A21" i="2"/>
  <c r="A17" i="2"/>
  <c r="A16" i="2"/>
  <c r="A13" i="2"/>
  <c r="H11" i="2"/>
  <c r="G11" i="2"/>
  <c r="I11" i="2" s="1"/>
  <c r="H10" i="2"/>
  <c r="G10" i="2"/>
  <c r="H9" i="2"/>
  <c r="G9" i="2"/>
  <c r="I9" i="2" s="1"/>
  <c r="H8" i="2"/>
  <c r="G8" i="2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31" i="2" s="1"/>
  <c r="C33" i="1"/>
  <c r="C20" i="1"/>
  <c r="A25" i="2" l="1"/>
  <c r="I8" i="2"/>
  <c r="I10" i="2"/>
  <c r="A18" i="2"/>
  <c r="A26" i="2"/>
  <c r="A34" i="2"/>
  <c r="A39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D58" i="20"/>
  <c r="A14" i="2"/>
  <c r="A22" i="2"/>
  <c r="A30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<sst xmlns="http://schemas.openxmlformats.org/spreadsheetml/2006/main" count="2092" uniqueCount="341">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</sst>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19</v>
      </c>
      <c r="B1" s="29" t="s">
        <v>0</v>
      </c>
      <c r="C1" s="29" t="s">
        <v>24</v>
      </c>
    </row>
    <row r="2" spans="1:3" ht="15.95" customHeight="1" x14ac:dyDescent="0.2">
      <c r="A2" s="8" t="s">
        <v>55</v>
      </c>
      <c r="B2" s="29"/>
      <c r="C2" s="29"/>
    </row>
    <row r="3" spans="1:3" ht="15.95" customHeight="1" x14ac:dyDescent="0.2">
      <c r="A3" s="1"/>
      <c r="B3" s="5" t="s">
        <v>18</v>
      </c>
      <c r="C3" s="41">
        <v>2021</v>
      </c>
    </row>
    <row r="4" spans="1:3" ht="15.95" customHeight="1" x14ac:dyDescent="0.2">
      <c r="A4" s="1"/>
      <c r="B4" s="5" t="s">
        <v>26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50</v>
      </c>
    </row>
    <row r="7" spans="1:3" ht="15" customHeight="1" x14ac:dyDescent="0.2">
      <c r="B7" s="11" t="s">
        <v>23</v>
      </c>
      <c r="C7" s="43">
        <v>751522.8203125</v>
      </c>
    </row>
    <row r="8" spans="1:3" ht="15" customHeight="1" x14ac:dyDescent="0.2">
      <c r="B8" s="5" t="s">
        <v>44</v>
      </c>
      <c r="C8" s="44">
        <v>0.40899999999999997</v>
      </c>
    </row>
    <row r="9" spans="1:3" ht="15" customHeight="1" x14ac:dyDescent="0.2">
      <c r="B9" s="5" t="s">
        <v>43</v>
      </c>
      <c r="C9" s="45">
        <v>1</v>
      </c>
    </row>
    <row r="10" spans="1:3" ht="15" customHeight="1" x14ac:dyDescent="0.2">
      <c r="B10" s="5" t="s">
        <v>56</v>
      </c>
      <c r="C10" s="45">
        <v>0.14480130195617699</v>
      </c>
    </row>
    <row r="11" spans="1:3" ht="15" customHeight="1" x14ac:dyDescent="0.2">
      <c r="B11" s="5" t="s">
        <v>49</v>
      </c>
      <c r="C11" s="45">
        <v>0.78099999999999992</v>
      </c>
    </row>
    <row r="12" spans="1:3" ht="15" customHeight="1" x14ac:dyDescent="0.2">
      <c r="B12" s="5" t="s">
        <v>41</v>
      </c>
      <c r="C12" s="45">
        <v>0.50700000000000001</v>
      </c>
    </row>
    <row r="13" spans="1:3" ht="15" customHeight="1" x14ac:dyDescent="0.2">
      <c r="B13" s="5" t="s">
        <v>62</v>
      </c>
      <c r="C13" s="45">
        <v>0.628</v>
      </c>
    </row>
    <row r="14" spans="1:3" ht="15" customHeight="1" x14ac:dyDescent="0.2">
      <c r="B14" s="8"/>
    </row>
    <row r="15" spans="1:3" ht="15" customHeight="1" x14ac:dyDescent="0.2">
      <c r="A15" s="8" t="s">
        <v>28</v>
      </c>
      <c r="B15" s="14"/>
      <c r="C15" s="3"/>
    </row>
    <row r="16" spans="1:3" ht="15" customHeight="1" x14ac:dyDescent="0.2">
      <c r="B16" s="5" t="s">
        <v>33</v>
      </c>
      <c r="C16" s="45">
        <v>0.1</v>
      </c>
    </row>
    <row r="17" spans="1:3" ht="15" customHeight="1" x14ac:dyDescent="0.2">
      <c r="B17" s="5" t="s">
        <v>30</v>
      </c>
      <c r="C17" s="45">
        <v>0.7</v>
      </c>
    </row>
    <row r="18" spans="1:3" ht="15" customHeight="1" x14ac:dyDescent="0.2">
      <c r="B18" s="5" t="s">
        <v>31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34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12</v>
      </c>
    </row>
    <row r="23" spans="1:3" ht="15" customHeight="1" x14ac:dyDescent="0.2">
      <c r="B23" s="15" t="s">
        <v>45</v>
      </c>
      <c r="C23" s="45">
        <v>0.1414</v>
      </c>
    </row>
    <row r="24" spans="1:3" ht="15" customHeight="1" x14ac:dyDescent="0.2">
      <c r="B24" s="15" t="s">
        <v>46</v>
      </c>
      <c r="C24" s="45">
        <v>0.44040000000000012</v>
      </c>
    </row>
    <row r="25" spans="1:3" ht="15" customHeight="1" x14ac:dyDescent="0.2">
      <c r="B25" s="15" t="s">
        <v>47</v>
      </c>
      <c r="C25" s="45">
        <v>0.33069999999999999</v>
      </c>
    </row>
    <row r="26" spans="1:3" ht="15" customHeight="1" x14ac:dyDescent="0.2">
      <c r="B26" s="15" t="s">
        <v>48</v>
      </c>
      <c r="C26" s="45">
        <v>8.7499999999999994E-2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22</v>
      </c>
      <c r="B28" s="15"/>
      <c r="C28" s="15"/>
    </row>
    <row r="29" spans="1:3" ht="14.25" customHeight="1" x14ac:dyDescent="0.2">
      <c r="B29" s="25" t="s">
        <v>27</v>
      </c>
      <c r="C29" s="45">
        <v>0.24765214499010299</v>
      </c>
    </row>
    <row r="30" spans="1:3" ht="14.25" customHeight="1" x14ac:dyDescent="0.2">
      <c r="B30" s="25" t="s">
        <v>63</v>
      </c>
      <c r="C30" s="99">
        <v>3.6736298558651202E-2</v>
      </c>
    </row>
    <row r="31" spans="1:3" ht="14.25" customHeight="1" x14ac:dyDescent="0.2">
      <c r="B31" s="25" t="s">
        <v>10</v>
      </c>
      <c r="C31" s="99">
        <v>7.9440757172969098E-2</v>
      </c>
    </row>
    <row r="32" spans="1:3" ht="14.25" customHeight="1" x14ac:dyDescent="0.2">
      <c r="B32" s="25" t="s">
        <v>11</v>
      </c>
      <c r="C32" s="99">
        <v>0.63617079927827702</v>
      </c>
    </row>
    <row r="33" spans="1:5" ht="13.15" customHeight="1" x14ac:dyDescent="0.2">
      <c r="B33" s="27" t="s">
        <v>60</v>
      </c>
      <c r="C33" s="48">
        <f>SUM(C29:C32)</f>
        <v>1.0000000000000004</v>
      </c>
    </row>
    <row r="34" spans="1:5" ht="15" customHeight="1" x14ac:dyDescent="0.2"/>
    <row r="35" spans="1:5" ht="15" customHeight="1" x14ac:dyDescent="0.2">
      <c r="A35" s="4" t="s">
        <v>20</v>
      </c>
    </row>
    <row r="36" spans="1:5" ht="15" customHeight="1" x14ac:dyDescent="0.2">
      <c r="A36" s="8" t="s">
        <v>37</v>
      </c>
      <c r="B36" s="5"/>
    </row>
    <row r="37" spans="1:5" ht="15" customHeight="1" x14ac:dyDescent="0.2">
      <c r="B37" s="11" t="s">
        <v>38</v>
      </c>
      <c r="C37" s="43">
        <v>32.416897502547101</v>
      </c>
    </row>
    <row r="38" spans="1:5" ht="15" customHeight="1" x14ac:dyDescent="0.2">
      <c r="B38" s="11" t="s">
        <v>35</v>
      </c>
      <c r="C38" s="43">
        <v>62.182780398053403</v>
      </c>
      <c r="D38" s="12"/>
      <c r="E38" s="13"/>
    </row>
    <row r="39" spans="1:5" ht="15" customHeight="1" x14ac:dyDescent="0.2">
      <c r="B39" s="11" t="s">
        <v>61</v>
      </c>
      <c r="C39" s="43">
        <v>84.622621053808203</v>
      </c>
      <c r="D39" s="12"/>
      <c r="E39" s="12"/>
    </row>
    <row r="40" spans="1:5" ht="15" customHeight="1" x14ac:dyDescent="0.2">
      <c r="B40" s="11" t="s">
        <v>36</v>
      </c>
      <c r="C40" s="100">
        <v>6.61</v>
      </c>
    </row>
    <row r="41" spans="1:5" ht="15" customHeight="1" x14ac:dyDescent="0.2">
      <c r="B41" s="11" t="s">
        <v>32</v>
      </c>
      <c r="C41" s="45">
        <v>0.12</v>
      </c>
    </row>
    <row r="42" spans="1:5" ht="15" customHeight="1" x14ac:dyDescent="0.2">
      <c r="B42" s="11" t="s">
        <v>57</v>
      </c>
      <c r="C42" s="43">
        <v>24.184323089999999</v>
      </c>
    </row>
    <row r="43" spans="1:5" ht="15.75" customHeight="1" x14ac:dyDescent="0.2">
      <c r="D43" s="12"/>
    </row>
    <row r="44" spans="1:5" ht="15.75" customHeight="1" x14ac:dyDescent="0.2">
      <c r="A44" s="8" t="s">
        <v>21</v>
      </c>
      <c r="D44" s="12"/>
    </row>
    <row r="45" spans="1:5" ht="15.75" customHeight="1" x14ac:dyDescent="0.2">
      <c r="B45" s="11" t="s">
        <v>52</v>
      </c>
      <c r="C45" s="45">
        <v>2.8663E-3</v>
      </c>
      <c r="D45" s="12"/>
    </row>
    <row r="46" spans="1:5" ht="15.75" customHeight="1" x14ac:dyDescent="0.2">
      <c r="B46" s="11" t="s">
        <v>51</v>
      </c>
      <c r="C46" s="45">
        <v>8.5713700000000004E-2</v>
      </c>
      <c r="D46" s="12"/>
    </row>
    <row r="47" spans="1:5" ht="15.75" customHeight="1" x14ac:dyDescent="0.2">
      <c r="B47" s="11" t="s">
        <v>59</v>
      </c>
      <c r="C47" s="45">
        <v>0.1424289</v>
      </c>
      <c r="D47" s="12"/>
      <c r="E47" s="13"/>
    </row>
    <row r="48" spans="1:5" ht="15" customHeight="1" x14ac:dyDescent="0.2">
      <c r="B48" s="11" t="s">
        <v>58</v>
      </c>
      <c r="C48" s="46">
        <v>0.76899109999999993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25</v>
      </c>
      <c r="D50" s="12"/>
    </row>
    <row r="51" spans="1:4" ht="15.75" customHeight="1" x14ac:dyDescent="0.2">
      <c r="B51" s="11" t="s">
        <v>17</v>
      </c>
      <c r="C51" s="100">
        <v>3.3</v>
      </c>
      <c r="D51" s="12"/>
    </row>
    <row r="52" spans="1:4" ht="15" customHeight="1" x14ac:dyDescent="0.2">
      <c r="B52" s="11" t="s">
        <v>13</v>
      </c>
      <c r="C52" s="100">
        <v>3.3</v>
      </c>
    </row>
    <row r="53" spans="1:4" ht="15.75" customHeight="1" x14ac:dyDescent="0.2">
      <c r="B53" s="11" t="s">
        <v>16</v>
      </c>
      <c r="C53" s="100">
        <v>3.3</v>
      </c>
    </row>
    <row r="54" spans="1:4" ht="15.75" customHeight="1" x14ac:dyDescent="0.2">
      <c r="B54" s="11" t="s">
        <v>14</v>
      </c>
      <c r="C54" s="100">
        <v>3.3</v>
      </c>
    </row>
    <row r="55" spans="1:4" ht="15.75" customHeight="1" x14ac:dyDescent="0.2">
      <c r="B55" s="11" t="s">
        <v>15</v>
      </c>
      <c r="C55" s="100">
        <v>3.3</v>
      </c>
    </row>
    <row r="57" spans="1:4" ht="15.75" customHeight="1" x14ac:dyDescent="0.2">
      <c r="A57" s="8" t="s">
        <v>39</v>
      </c>
    </row>
    <row r="58" spans="1:4" ht="15.75" customHeight="1" x14ac:dyDescent="0.2">
      <c r="B58" s="5" t="s">
        <v>42</v>
      </c>
      <c r="C58" s="45">
        <v>2.181818181818182E-2</v>
      </c>
    </row>
    <row r="59" spans="1:4" ht="15.75" customHeight="1" x14ac:dyDescent="0.2">
      <c r="B59" s="11" t="s">
        <v>40</v>
      </c>
      <c r="C59" s="45">
        <v>0.44132399999999999</v>
      </c>
    </row>
    <row r="60" spans="1:4" ht="15.75" customHeight="1" x14ac:dyDescent="0.2">
      <c r="B60" s="11" t="s">
        <v>54</v>
      </c>
      <c r="C60" s="45">
        <v>4.5999999999999999E-2</v>
      </c>
    </row>
    <row r="61" spans="1:4" ht="15.75" customHeight="1" x14ac:dyDescent="0.2">
      <c r="B61" s="11" t="s">
        <v>53</v>
      </c>
      <c r="C61" s="45">
        <v>1.4E-2</v>
      </c>
    </row>
    <row r="62" spans="1:4" ht="15.75" customHeight="1" x14ac:dyDescent="0.2">
      <c r="B62" s="11" t="s">
        <v>64</v>
      </c>
      <c r="C62" s="44">
        <v>0.14607059</v>
      </c>
    </row>
    <row r="63" spans="1:4" ht="15.75" customHeight="1" x14ac:dyDescent="0.2">
      <c r="A63" s="4"/>
    </row>
  </sheetData>
  <sheetProtection algorithmName="SHA-512" hashValue="E+Sv6t6oXs4Q8VVoSIF428wmspstZxnPX0Imep0mlHwzu+6oUINFAOBgulkmgzHkzMLS+M0A6KEDYBtHrUiJJQ==" saltValue="d8DRWWU6PiYKbgOV0fNL1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">
      <c r="A2" s="5" t="s">
        <v>165</v>
      </c>
      <c r="B2" s="45">
        <v>0.386006930273469</v>
      </c>
      <c r="C2" s="98">
        <v>0.95</v>
      </c>
      <c r="D2" s="56">
        <v>34.501397074255429</v>
      </c>
      <c r="E2" s="56" t="s">
        <v>183</v>
      </c>
      <c r="F2" s="98">
        <v>1</v>
      </c>
      <c r="G2" s="98">
        <v>1</v>
      </c>
    </row>
    <row r="3" spans="1:7" ht="15.75" customHeight="1" x14ac:dyDescent="0.2">
      <c r="A3" s="5" t="s">
        <v>166</v>
      </c>
      <c r="B3" s="45">
        <v>0</v>
      </c>
      <c r="C3" s="98">
        <v>0.95</v>
      </c>
      <c r="D3" s="56">
        <v>47.355822967277753</v>
      </c>
      <c r="E3" s="56" t="s">
        <v>183</v>
      </c>
      <c r="F3" s="98">
        <v>1</v>
      </c>
      <c r="G3" s="98">
        <v>1</v>
      </c>
    </row>
    <row r="4" spans="1:7" ht="15.75" customHeight="1" x14ac:dyDescent="0.2">
      <c r="A4" s="5" t="s">
        <v>167</v>
      </c>
      <c r="B4" s="98">
        <v>0</v>
      </c>
      <c r="C4" s="98">
        <v>0.95</v>
      </c>
      <c r="D4" s="56">
        <v>45.537074135700493</v>
      </c>
      <c r="E4" s="56" t="s">
        <v>183</v>
      </c>
      <c r="F4" s="98">
        <v>1</v>
      </c>
      <c r="G4" s="98">
        <v>1</v>
      </c>
    </row>
    <row r="5" spans="1:7" ht="15.75" customHeight="1" x14ac:dyDescent="0.2">
      <c r="A5" s="5" t="s">
        <v>169</v>
      </c>
      <c r="B5" s="98">
        <v>0</v>
      </c>
      <c r="C5" s="98">
        <v>0.95</v>
      </c>
      <c r="D5" s="56">
        <v>0.19737964912578659</v>
      </c>
      <c r="E5" s="56" t="s">
        <v>183</v>
      </c>
      <c r="F5" s="98">
        <v>1</v>
      </c>
      <c r="G5" s="98">
        <v>1</v>
      </c>
    </row>
    <row r="6" spans="1:7" ht="15.75" customHeight="1" x14ac:dyDescent="0.2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">
      <c r="A10" s="11" t="s">
        <v>174</v>
      </c>
      <c r="B10" s="45">
        <v>0</v>
      </c>
      <c r="C10" s="98">
        <v>0.95</v>
      </c>
      <c r="D10" s="56">
        <v>15.01507229777283</v>
      </c>
      <c r="E10" s="56" t="s">
        <v>183</v>
      </c>
      <c r="F10" s="98">
        <v>1</v>
      </c>
      <c r="G10" s="98">
        <v>1</v>
      </c>
    </row>
    <row r="11" spans="1:7" ht="15.75" customHeight="1" x14ac:dyDescent="0.2">
      <c r="A11" s="11" t="s">
        <v>175</v>
      </c>
      <c r="B11" s="98">
        <v>0</v>
      </c>
      <c r="C11" s="98">
        <v>0.95</v>
      </c>
      <c r="D11" s="56">
        <v>15.01507229777283</v>
      </c>
      <c r="E11" s="56" t="s">
        <v>183</v>
      </c>
      <c r="F11" s="98">
        <v>1</v>
      </c>
      <c r="G11" s="98">
        <v>1</v>
      </c>
    </row>
    <row r="12" spans="1:7" ht="15.75" customHeight="1" x14ac:dyDescent="0.2">
      <c r="A12" s="11" t="s">
        <v>176</v>
      </c>
      <c r="B12" s="98">
        <v>0</v>
      </c>
      <c r="C12" s="98">
        <v>0.95</v>
      </c>
      <c r="D12" s="56">
        <v>15.01507229777283</v>
      </c>
      <c r="E12" s="56" t="s">
        <v>183</v>
      </c>
      <c r="F12" s="98">
        <v>1</v>
      </c>
      <c r="G12" s="98">
        <v>1</v>
      </c>
    </row>
    <row r="13" spans="1:7" ht="15.75" customHeight="1" x14ac:dyDescent="0.2">
      <c r="A13" s="11" t="s">
        <v>177</v>
      </c>
      <c r="B13" s="98">
        <v>0</v>
      </c>
      <c r="C13" s="98">
        <v>0.95</v>
      </c>
      <c r="D13" s="56">
        <v>15.01507229777283</v>
      </c>
      <c r="E13" s="56" t="s">
        <v>183</v>
      </c>
      <c r="F13" s="98">
        <v>1</v>
      </c>
      <c r="G13" s="98">
        <v>1</v>
      </c>
    </row>
    <row r="14" spans="1:7" ht="15.75" customHeight="1" x14ac:dyDescent="0.2">
      <c r="A14" s="5" t="s">
        <v>178</v>
      </c>
      <c r="B14" s="45">
        <v>0</v>
      </c>
      <c r="C14" s="98">
        <v>0.95</v>
      </c>
      <c r="D14" s="56">
        <v>15.01507229777283</v>
      </c>
      <c r="E14" s="56" t="s">
        <v>183</v>
      </c>
      <c r="F14" s="98">
        <v>1</v>
      </c>
      <c r="G14" s="98">
        <v>1</v>
      </c>
    </row>
    <row r="15" spans="1:7" ht="15.75" customHeight="1" x14ac:dyDescent="0.2">
      <c r="A15" s="5" t="s">
        <v>179</v>
      </c>
      <c r="B15" s="98">
        <v>0</v>
      </c>
      <c r="C15" s="98">
        <v>0.95</v>
      </c>
      <c r="D15" s="56">
        <v>15.01507229777283</v>
      </c>
      <c r="E15" s="56" t="s">
        <v>183</v>
      </c>
      <c r="F15" s="98">
        <v>1</v>
      </c>
      <c r="G15" s="98">
        <v>1</v>
      </c>
    </row>
    <row r="16" spans="1:7" ht="15.75" customHeight="1" x14ac:dyDescent="0.2">
      <c r="A16" s="5" t="s">
        <v>180</v>
      </c>
      <c r="B16" s="45">
        <v>0.44127789989404298</v>
      </c>
      <c r="C16" s="98">
        <v>0.95</v>
      </c>
      <c r="D16" s="56">
        <v>0.21765422515374999</v>
      </c>
      <c r="E16" s="56" t="s">
        <v>183</v>
      </c>
      <c r="F16" s="98">
        <v>1</v>
      </c>
      <c r="G16" s="98">
        <v>1</v>
      </c>
    </row>
    <row r="17" spans="1:7" ht="15.75" customHeight="1" x14ac:dyDescent="0.2">
      <c r="A17" s="5" t="s">
        <v>181</v>
      </c>
      <c r="B17" s="98">
        <v>0.9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5" customHeight="1" x14ac:dyDescent="0.2">
      <c r="A18" s="5" t="s">
        <v>151</v>
      </c>
      <c r="B18" s="98">
        <v>0</v>
      </c>
      <c r="C18" s="98">
        <v>0.95</v>
      </c>
      <c r="D18" s="56">
        <v>1.160813804607514</v>
      </c>
      <c r="E18" s="56" t="s">
        <v>183</v>
      </c>
      <c r="F18" s="98">
        <v>1</v>
      </c>
      <c r="G18" s="98">
        <v>1</v>
      </c>
    </row>
    <row r="19" spans="1:7" ht="15.75" customHeight="1" x14ac:dyDescent="0.2">
      <c r="A19" s="5" t="s">
        <v>152</v>
      </c>
      <c r="B19" s="98">
        <v>0</v>
      </c>
      <c r="C19" s="98">
        <v>0.95</v>
      </c>
      <c r="D19" s="56">
        <v>1.160813804607514</v>
      </c>
      <c r="E19" s="56" t="s">
        <v>183</v>
      </c>
      <c r="F19" s="98">
        <v>1</v>
      </c>
      <c r="G19" s="98">
        <v>1</v>
      </c>
    </row>
    <row r="20" spans="1:7" ht="15.75" customHeight="1" x14ac:dyDescent="0.2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">
      <c r="A21" s="5" t="s">
        <v>182</v>
      </c>
      <c r="B21" s="45">
        <v>0.1875018883</v>
      </c>
      <c r="C21" s="98">
        <v>0.95</v>
      </c>
      <c r="D21" s="56">
        <v>1.6155396039007119</v>
      </c>
      <c r="E21" s="56" t="s">
        <v>183</v>
      </c>
      <c r="F21" s="98">
        <v>1</v>
      </c>
      <c r="G21" s="98">
        <v>1</v>
      </c>
    </row>
    <row r="22" spans="1:7" ht="15.75" customHeight="1" x14ac:dyDescent="0.2">
      <c r="A22" s="5" t="s">
        <v>184</v>
      </c>
      <c r="B22" s="98">
        <v>0</v>
      </c>
      <c r="C22" s="98">
        <v>0.95</v>
      </c>
      <c r="D22" s="56">
        <v>25.571599410358289</v>
      </c>
      <c r="E22" s="56" t="s">
        <v>183</v>
      </c>
      <c r="F22" s="98">
        <v>1</v>
      </c>
      <c r="G22" s="98">
        <v>1</v>
      </c>
    </row>
    <row r="23" spans="1:7" ht="15.75" customHeight="1" x14ac:dyDescent="0.2">
      <c r="A23" s="5" t="s">
        <v>185</v>
      </c>
      <c r="B23" s="98">
        <v>1.9946767090000001E-2</v>
      </c>
      <c r="C23" s="98">
        <v>0.95</v>
      </c>
      <c r="D23" s="56">
        <v>4.9100556870350216</v>
      </c>
      <c r="E23" s="56" t="s">
        <v>183</v>
      </c>
      <c r="F23" s="98">
        <v>1</v>
      </c>
      <c r="G23" s="98">
        <v>1</v>
      </c>
    </row>
    <row r="24" spans="1:7" ht="15.75" customHeight="1" x14ac:dyDescent="0.2">
      <c r="A24" s="5" t="s">
        <v>188</v>
      </c>
      <c r="B24" s="45">
        <v>0.51452737605960008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">
      <c r="A27" s="5" t="s">
        <v>191</v>
      </c>
      <c r="B27" s="45">
        <v>0.39436395960480702</v>
      </c>
      <c r="C27" s="98">
        <v>0.95</v>
      </c>
      <c r="D27" s="56">
        <v>21.725060175997658</v>
      </c>
      <c r="E27" s="56" t="s">
        <v>183</v>
      </c>
      <c r="F27" s="98">
        <v>1</v>
      </c>
      <c r="G27" s="98">
        <v>1</v>
      </c>
    </row>
    <row r="28" spans="1:7" ht="15.75" customHeight="1" x14ac:dyDescent="0.2">
      <c r="A28" s="5" t="s">
        <v>192</v>
      </c>
      <c r="B28" s="45">
        <v>0.541289978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">
      <c r="A29" s="5" t="s">
        <v>193</v>
      </c>
      <c r="B29" s="45">
        <v>0</v>
      </c>
      <c r="C29" s="98">
        <v>0.95</v>
      </c>
      <c r="D29" s="56">
        <v>59.948870706228909</v>
      </c>
      <c r="E29" s="56" t="s">
        <v>183</v>
      </c>
      <c r="F29" s="98">
        <v>1</v>
      </c>
      <c r="G29" s="98">
        <v>1</v>
      </c>
    </row>
    <row r="30" spans="1:7" ht="15.75" customHeight="1" x14ac:dyDescent="0.2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">
      <c r="A31" s="5" t="s">
        <v>164</v>
      </c>
      <c r="B31" s="45">
        <v>0.15140000000000001</v>
      </c>
      <c r="C31" s="98">
        <v>0.95</v>
      </c>
      <c r="D31" s="56">
        <v>1.2819039793957061</v>
      </c>
      <c r="E31" s="56" t="s">
        <v>183</v>
      </c>
      <c r="F31" s="98">
        <v>1</v>
      </c>
      <c r="G31" s="98">
        <v>1</v>
      </c>
    </row>
    <row r="32" spans="1:7" ht="15.75" customHeight="1" x14ac:dyDescent="0.2">
      <c r="A32" s="5" t="s">
        <v>196</v>
      </c>
      <c r="B32" s="45">
        <v>0.51254100999999996</v>
      </c>
      <c r="C32" s="98">
        <v>0.95</v>
      </c>
      <c r="D32" s="56">
        <v>0.40073342145631469</v>
      </c>
      <c r="E32" s="56" t="s">
        <v>183</v>
      </c>
      <c r="F32" s="98">
        <v>1</v>
      </c>
      <c r="G32" s="98">
        <v>1</v>
      </c>
    </row>
    <row r="33" spans="1:7" ht="15.75" customHeight="1" x14ac:dyDescent="0.2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">
      <c r="A34" s="5" t="s">
        <v>198</v>
      </c>
      <c r="B34" s="45">
        <v>0.16973517699445101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">
      <c r="A37" s="5" t="s">
        <v>201</v>
      </c>
      <c r="B37" s="45">
        <v>0.62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">
      <c r="A38" s="5" t="s">
        <v>202</v>
      </c>
      <c r="B38" s="45">
        <v>0.2335766792</v>
      </c>
      <c r="C38" s="98">
        <v>0.95</v>
      </c>
      <c r="D38" s="56">
        <v>7.1322114997143746</v>
      </c>
      <c r="E38" s="56" t="s">
        <v>183</v>
      </c>
      <c r="F38" s="98">
        <v>1</v>
      </c>
      <c r="G38" s="98">
        <v>1</v>
      </c>
    </row>
    <row r="39" spans="1:7" ht="15.75" customHeight="1" x14ac:dyDescent="0.2">
      <c r="A39" s="5" t="s">
        <v>203</v>
      </c>
      <c r="B39" s="45">
        <v>8.6074304579999997E-2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f9WThuBDqRhKDRIxxLmTX+MStQgY+UTOZlXgOuk/lubVJ2PZdmiVVxAmOTMgkD1wh1Jtsqpv3UkdQJYQb8AkFQ==" saltValue="dthFIlwX6iTacOKp7x8z7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163</v>
      </c>
      <c r="B1" s="4" t="s">
        <v>205</v>
      </c>
      <c r="C1" s="4" t="s">
        <v>206</v>
      </c>
    </row>
    <row r="2" spans="1:3" x14ac:dyDescent="0.2">
      <c r="A2" s="57" t="s">
        <v>178</v>
      </c>
      <c r="B2" s="47" t="s">
        <v>191</v>
      </c>
      <c r="C2" s="47"/>
    </row>
    <row r="3" spans="1:3" x14ac:dyDescent="0.2">
      <c r="A3" s="57" t="s">
        <v>179</v>
      </c>
      <c r="B3" s="47" t="s">
        <v>191</v>
      </c>
      <c r="C3" s="47"/>
    </row>
    <row r="4" spans="1:3" x14ac:dyDescent="0.2">
      <c r="A4" s="57" t="s">
        <v>193</v>
      </c>
      <c r="B4" s="47" t="s">
        <v>184</v>
      </c>
      <c r="C4" s="47"/>
    </row>
    <row r="5" spans="1:3" x14ac:dyDescent="0.2">
      <c r="A5" s="57" t="s">
        <v>190</v>
      </c>
      <c r="B5" s="47" t="s">
        <v>184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X8aXRgwtUmXMhjPssgfgK01+rJ6XNXkTDMfE9z5K9lnhjC03RTAWe6FGxfOSLlz84FLjs57m7/28xxof1aNMRw==" saltValue="Fwu2HXx1ExzWP9/rWyB4m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163</v>
      </c>
    </row>
    <row r="2" spans="1:1" x14ac:dyDescent="0.2">
      <c r="A2" s="33" t="s">
        <v>170</v>
      </c>
    </row>
    <row r="3" spans="1:1" x14ac:dyDescent="0.2">
      <c r="A3" s="33" t="s">
        <v>180</v>
      </c>
    </row>
    <row r="4" spans="1:1" x14ac:dyDescent="0.2">
      <c r="A4" s="33" t="s">
        <v>185</v>
      </c>
    </row>
    <row r="5" spans="1:1" x14ac:dyDescent="0.2">
      <c r="A5" s="33" t="s">
        <v>197</v>
      </c>
    </row>
    <row r="6" spans="1:1" x14ac:dyDescent="0.2">
      <c r="A6" s="33" t="s">
        <v>198</v>
      </c>
    </row>
    <row r="7" spans="1:1" x14ac:dyDescent="0.2">
      <c r="A7" s="33" t="s">
        <v>199</v>
      </c>
    </row>
    <row r="8" spans="1:1" x14ac:dyDescent="0.2">
      <c r="A8" s="33" t="s">
        <v>200</v>
      </c>
    </row>
    <row r="9" spans="1:1" x14ac:dyDescent="0.2">
      <c r="A9" s="33" t="s">
        <v>201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RX/gePE5/kr3fDPYmHgD0NtaUi9dZsSVXtjlLkw80xDe5npfWDIkuc6vy1r57v1CVmax+RSal4pmCOSMhJHLDA==" saltValue="ccMqvfFnWi+0Dhazf81lc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">
      <c r="A2" s="3" t="s">
        <v>84</v>
      </c>
      <c r="B2" s="21">
        <f>'Entradas de población-año base'!C51</f>
        <v>3.3</v>
      </c>
      <c r="C2" s="21">
        <f>'Entradas de población-año base'!C52</f>
        <v>3.3</v>
      </c>
      <c r="D2" s="21">
        <f>'Entradas de población-año base'!C53</f>
        <v>3.3</v>
      </c>
      <c r="E2" s="21">
        <f>'Entradas de población-año base'!C54</f>
        <v>3.3</v>
      </c>
      <c r="F2" s="21">
        <f>'Entradas de población-año base'!C55</f>
        <v>3.3</v>
      </c>
    </row>
    <row r="3" spans="1:6" ht="15.75" customHeight="1" x14ac:dyDescent="0.2">
      <c r="A3" s="3" t="s">
        <v>6</v>
      </c>
      <c r="B3" s="21">
        <f>frac_mam_1month * 2.6</f>
        <v>6.3506502800000003E-2</v>
      </c>
      <c r="C3" s="21">
        <f>frac_mam_1_5months * 2.6</f>
        <v>6.3506502800000003E-2</v>
      </c>
      <c r="D3" s="21">
        <f>frac_mam_6_11months * 2.6</f>
        <v>0.14519638900000001</v>
      </c>
      <c r="E3" s="21">
        <f>frac_mam_12_23months * 2.6</f>
        <v>0.1249755338</v>
      </c>
      <c r="F3" s="21">
        <f>frac_mam_24_59months * 2.6</f>
        <v>5.6524967200000005E-2</v>
      </c>
    </row>
    <row r="4" spans="1:6" ht="15.75" customHeight="1" x14ac:dyDescent="0.2">
      <c r="A4" s="3" t="s">
        <v>207</v>
      </c>
      <c r="B4" s="21">
        <f>frac_sam_1month * 2.6</f>
        <v>1.336422464E-2</v>
      </c>
      <c r="C4" s="21">
        <f>frac_sam_1_5months * 2.6</f>
        <v>1.336422464E-2</v>
      </c>
      <c r="D4" s="21">
        <f>frac_sam_6_11months * 2.6</f>
        <v>2.0204078440000002E-2</v>
      </c>
      <c r="E4" s="21">
        <f>frac_sam_12_23months * 2.6</f>
        <v>2.6820879800000003E-2</v>
      </c>
      <c r="F4" s="21">
        <f>frac_sam_24_59months * 2.6</f>
        <v>4.7110421799999996E-3</v>
      </c>
    </row>
  </sheetData>
  <sheetProtection algorithmName="SHA-512" hashValue="26OBQp7MsV98BDRnnCAs1943oo1qUn/bA+MCuiHAhj+Fiiffwvg4J9ySw8JbzzHIcLnZ72CiiP8xOTVGh41Lyg==" saltValue="CQIBYZwbx6RQcTwlxHXEr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">
      <c r="A2" s="4" t="s">
        <v>83</v>
      </c>
      <c r="B2" s="5" t="s">
        <v>167</v>
      </c>
      <c r="C2" s="60">
        <v>0</v>
      </c>
      <c r="D2" s="60">
        <f>food_insecure</f>
        <v>0.40899999999999997</v>
      </c>
      <c r="E2" s="60">
        <f>food_insecure</f>
        <v>0.40899999999999997</v>
      </c>
      <c r="F2" s="60">
        <f>food_insecure</f>
        <v>0.40899999999999997</v>
      </c>
      <c r="G2" s="60">
        <f>food_insecure</f>
        <v>0.40899999999999997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184</v>
      </c>
      <c r="C5" s="60">
        <v>0</v>
      </c>
      <c r="D5" s="60">
        <v>0</v>
      </c>
      <c r="E5" s="60">
        <f>food_insecure</f>
        <v>0.40899999999999997</v>
      </c>
      <c r="F5" s="60">
        <f>food_insecure</f>
        <v>0.40899999999999997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192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193</v>
      </c>
      <c r="C8" s="60">
        <v>0</v>
      </c>
      <c r="D8" s="60">
        <v>0</v>
      </c>
      <c r="E8" s="60">
        <f>food_insecure</f>
        <v>0.40899999999999997</v>
      </c>
      <c r="F8" s="60">
        <f>food_insecure</f>
        <v>0.40899999999999997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204</v>
      </c>
      <c r="C9" s="60">
        <v>0</v>
      </c>
      <c r="D9" s="60">
        <v>0</v>
      </c>
      <c r="E9" s="60">
        <f>food_insecure</f>
        <v>0.40899999999999997</v>
      </c>
      <c r="F9" s="60">
        <f>food_insecure</f>
        <v>0.40899999999999997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164</v>
      </c>
      <c r="C10" s="60">
        <v>0</v>
      </c>
      <c r="D10" s="60">
        <f>IF(ISBLANK(comm_deliv), frac_children_health_facility,1)</f>
        <v>0.50700000000000001</v>
      </c>
      <c r="E10" s="60">
        <f>IF(ISBLANK(comm_deliv), frac_children_health_facility,1)</f>
        <v>0.50700000000000001</v>
      </c>
      <c r="F10" s="60">
        <f>IF(ISBLANK(comm_deliv), frac_children_health_facility,1)</f>
        <v>0.50700000000000001</v>
      </c>
      <c r="G10" s="60">
        <f>IF(ISBLANK(comm_deliv), frac_children_health_facility,1)</f>
        <v>0.50700000000000001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202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0.40899999999999997</v>
      </c>
      <c r="I15" s="60">
        <f>food_insecure</f>
        <v>0.40899999999999997</v>
      </c>
      <c r="J15" s="60">
        <f>food_insecure</f>
        <v>0.40899999999999997</v>
      </c>
      <c r="K15" s="60">
        <f>food_insecure</f>
        <v>0.40899999999999997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0.78099999999999992</v>
      </c>
      <c r="I18" s="60">
        <f>frac_PW_health_facility</f>
        <v>0.78099999999999992</v>
      </c>
      <c r="J18" s="60">
        <f>frac_PW_health_facility</f>
        <v>0.78099999999999992</v>
      </c>
      <c r="K18" s="60">
        <f>frac_PW_health_facility</f>
        <v>0.78099999999999992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1</v>
      </c>
      <c r="I19" s="60">
        <f>frac_malaria_risk</f>
        <v>1</v>
      </c>
      <c r="J19" s="60">
        <f>frac_malaria_risk</f>
        <v>1</v>
      </c>
      <c r="K19" s="60">
        <f>frac_malaria_risk</f>
        <v>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0.628</v>
      </c>
      <c r="M24" s="60">
        <f>famplan_unmet_need</f>
        <v>0.628</v>
      </c>
      <c r="N24" s="60">
        <f>famplan_unmet_need</f>
        <v>0.628</v>
      </c>
      <c r="O24" s="60">
        <f>famplan_unmet_need</f>
        <v>0.628</v>
      </c>
    </row>
    <row r="25" spans="1:15" ht="15.75" customHeight="1" x14ac:dyDescent="0.2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0.49250037821645715</v>
      </c>
      <c r="M25" s="60">
        <f>(1-food_insecure)*(0.49)+food_insecure*(0.7)</f>
        <v>0.5758899999999999</v>
      </c>
      <c r="N25" s="60">
        <f>(1-food_insecure)*(0.49)+food_insecure*(0.7)</f>
        <v>0.5758899999999999</v>
      </c>
      <c r="O25" s="60">
        <f>(1-food_insecure)*(0.49)+food_insecure*(0.7)</f>
        <v>0.5758899999999999</v>
      </c>
    </row>
    <row r="26" spans="1:15" ht="15.75" customHeight="1" x14ac:dyDescent="0.2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0.21107159066419592</v>
      </c>
      <c r="M26" s="60">
        <f>(1-food_insecure)*(0.21)+food_insecure*(0.3)</f>
        <v>0.24680999999999997</v>
      </c>
      <c r="N26" s="60">
        <f>(1-food_insecure)*(0.21)+food_insecure*(0.3)</f>
        <v>0.24680999999999997</v>
      </c>
      <c r="O26" s="60">
        <f>(1-food_insecure)*(0.21)+food_insecure*(0.3)</f>
        <v>0.24680999999999997</v>
      </c>
    </row>
    <row r="27" spans="1:15" ht="15.75" customHeight="1" x14ac:dyDescent="0.2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0.1516267291631698</v>
      </c>
      <c r="M27" s="60">
        <f>(1-food_insecure)*(0.3)</f>
        <v>0.17729999999999999</v>
      </c>
      <c r="N27" s="60">
        <f>(1-food_insecure)*(0.3)</f>
        <v>0.17729999999999999</v>
      </c>
      <c r="O27" s="60">
        <f>(1-food_insecure)*(0.3)</f>
        <v>0.17729999999999999</v>
      </c>
    </row>
    <row r="28" spans="1:15" ht="15.75" customHeight="1" x14ac:dyDescent="0.2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0.14480130195617696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185</v>
      </c>
      <c r="C34" s="60">
        <f t="shared" ref="C34:O34" si="3">frac_malaria_risk</f>
        <v>1</v>
      </c>
      <c r="D34" s="60">
        <f t="shared" si="3"/>
        <v>1</v>
      </c>
      <c r="E34" s="60">
        <f t="shared" si="3"/>
        <v>1</v>
      </c>
      <c r="F34" s="60">
        <f t="shared" si="3"/>
        <v>1</v>
      </c>
      <c r="G34" s="60">
        <f t="shared" si="3"/>
        <v>1</v>
      </c>
      <c r="H34" s="60">
        <f t="shared" si="3"/>
        <v>1</v>
      </c>
      <c r="I34" s="60">
        <f t="shared" si="3"/>
        <v>1</v>
      </c>
      <c r="J34" s="60">
        <f t="shared" si="3"/>
        <v>1</v>
      </c>
      <c r="K34" s="60">
        <f t="shared" si="3"/>
        <v>1</v>
      </c>
      <c r="L34" s="60">
        <f t="shared" si="3"/>
        <v>1</v>
      </c>
      <c r="M34" s="60">
        <f t="shared" si="3"/>
        <v>1</v>
      </c>
      <c r="N34" s="60">
        <f t="shared" si="3"/>
        <v>1</v>
      </c>
      <c r="O34" s="60">
        <f t="shared" si="3"/>
        <v>1</v>
      </c>
    </row>
    <row r="35" spans="2:15" ht="15.75" customHeight="1" x14ac:dyDescent="0.2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FWnb/4Sc38aGvOPW755Aray8u4rTB33igsxfFv5LUKBg/4uJNV1Kuv/d9ljXC+7pr64VurOCWVU+JSoJMNkEjg==" saltValue="2QOTD1y5ZhoTSc29JzHUj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183</v>
      </c>
    </row>
    <row r="2" spans="1:1" x14ac:dyDescent="0.2">
      <c r="A2" s="8" t="s">
        <v>213</v>
      </c>
    </row>
    <row r="3" spans="1:1" x14ac:dyDescent="0.2">
      <c r="A3" s="8" t="s">
        <v>212</v>
      </c>
    </row>
    <row r="4" spans="1:1" x14ac:dyDescent="0.2">
      <c r="A4" s="8" t="s">
        <v>214</v>
      </c>
    </row>
  </sheetData>
  <sheetProtection algorithmName="SHA-512" hashValue="UJiz+W+scmRWAmxyvgHY8nxxT7uiG0COrioqQJhaG5//YYXFUqardT8miFQ7roJkOT2HnTwY+oSeHIgEMoZ6Uw==" saltValue="b6u8tHWw4nUVuaPdsh56l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3.9" customHeight="1" x14ac:dyDescent="0.2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o7zeRBgKLDRpOtxdCVPEkirrgwtWgWIpDHXWlivKqU0jZIM8jJnZE0KxXSJrN/qIxjNh/Y4soqd/diq6ziDmLQ==" saltValue="H8MH1ODArt94E6XjyjgPm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dwcOKloS3GrL5HgfKx3/jJajZ7xMYc7a7QlSlzuf+rfSumrGdQA8y3avwXBto9Hcogngiza5cHlYDJRGO6hVvA==" saltValue="5LIouuRDxssxPOu+C+GQRg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OuhzNsZafBQjj9OLCHfaOTPmPsenVcnn4OPqO339SfMEoD4cfzxlkfHMPGd67zr30NxtIgon3VNDknwQl+fhsQ==" saltValue="kx74jMwyoPX4Lx8VPSsJw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OC1Bb7SvRKc1/EBxw6Q/IVRQ8apDcZPJn2/HpPCaF3Wg4ZCX/wpl39L3c9DoIgdpixlnBjBdAI6dcMmE8E4iiQ==" saltValue="ESI6VQMJm9YwsKxA+vwhg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">
      <c r="A2" s="5">
        <f>start_year</f>
        <v>2021</v>
      </c>
      <c r="B2" s="49">
        <v>170206.37760000001</v>
      </c>
      <c r="C2" s="49">
        <v>280000</v>
      </c>
      <c r="D2" s="49">
        <v>432000</v>
      </c>
      <c r="E2" s="49">
        <v>318000</v>
      </c>
      <c r="F2" s="49">
        <v>229000</v>
      </c>
      <c r="G2" s="17">
        <f t="shared" ref="G2:G11" si="0">C2+D2+E2+F2</f>
        <v>1259000</v>
      </c>
      <c r="H2" s="17">
        <f t="shared" ref="H2:H11" si="1">(B2 + stillbirth*B2/(1000-stillbirth))/(1-abortion)</f>
        <v>198209.91070187232</v>
      </c>
      <c r="I2" s="17">
        <f t="shared" ref="I2:I11" si="2">G2-H2</f>
        <v>1060790.0892981277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172665.00279999999</v>
      </c>
      <c r="C3" s="50">
        <v>286000</v>
      </c>
      <c r="D3" s="50">
        <v>447000</v>
      </c>
      <c r="E3" s="50">
        <v>325000</v>
      </c>
      <c r="F3" s="50">
        <v>237000</v>
      </c>
      <c r="G3" s="17">
        <f t="shared" si="0"/>
        <v>1295000</v>
      </c>
      <c r="H3" s="17">
        <f t="shared" si="1"/>
        <v>201073.04596280024</v>
      </c>
      <c r="I3" s="17">
        <f t="shared" si="2"/>
        <v>1093926.9540371997</v>
      </c>
    </row>
    <row r="4" spans="1:9" ht="15.75" customHeight="1" x14ac:dyDescent="0.2">
      <c r="A4" s="5">
        <f t="shared" si="3"/>
        <v>2023</v>
      </c>
      <c r="B4" s="49">
        <v>175099.26240000001</v>
      </c>
      <c r="C4" s="50">
        <v>292000</v>
      </c>
      <c r="D4" s="50">
        <v>463000</v>
      </c>
      <c r="E4" s="50">
        <v>332000</v>
      </c>
      <c r="F4" s="50">
        <v>244000</v>
      </c>
      <c r="G4" s="17">
        <f t="shared" si="0"/>
        <v>1331000</v>
      </c>
      <c r="H4" s="17">
        <f t="shared" si="1"/>
        <v>203907.80682631547</v>
      </c>
      <c r="I4" s="17">
        <f t="shared" si="2"/>
        <v>1127092.1931736846</v>
      </c>
    </row>
    <row r="5" spans="1:9" ht="15.75" customHeight="1" x14ac:dyDescent="0.2">
      <c r="A5" s="5">
        <f t="shared" si="3"/>
        <v>2024</v>
      </c>
      <c r="B5" s="49">
        <v>177538.6624</v>
      </c>
      <c r="C5" s="50">
        <v>298000</v>
      </c>
      <c r="D5" s="50">
        <v>480000</v>
      </c>
      <c r="E5" s="50">
        <v>340000</v>
      </c>
      <c r="F5" s="50">
        <v>252000</v>
      </c>
      <c r="G5" s="17">
        <f t="shared" si="0"/>
        <v>1370000</v>
      </c>
      <c r="H5" s="17">
        <f t="shared" si="1"/>
        <v>206748.5538240716</v>
      </c>
      <c r="I5" s="17">
        <f t="shared" si="2"/>
        <v>1163251.4461759285</v>
      </c>
    </row>
    <row r="6" spans="1:9" ht="15.75" customHeight="1" x14ac:dyDescent="0.2">
      <c r="A6" s="5">
        <f t="shared" si="3"/>
        <v>2025</v>
      </c>
      <c r="B6" s="49">
        <v>179948.99</v>
      </c>
      <c r="C6" s="50">
        <v>304000</v>
      </c>
      <c r="D6" s="50">
        <v>495000</v>
      </c>
      <c r="E6" s="50">
        <v>348000</v>
      </c>
      <c r="F6" s="50">
        <v>260000</v>
      </c>
      <c r="G6" s="17">
        <f t="shared" si="0"/>
        <v>1407000</v>
      </c>
      <c r="H6" s="17">
        <f t="shared" si="1"/>
        <v>209555.44522905181</v>
      </c>
      <c r="I6" s="17">
        <f t="shared" si="2"/>
        <v>1197444.5547709481</v>
      </c>
    </row>
    <row r="7" spans="1:9" ht="15.75" customHeight="1" x14ac:dyDescent="0.2">
      <c r="A7" s="5">
        <f t="shared" si="3"/>
        <v>2026</v>
      </c>
      <c r="B7" s="49">
        <v>182367.3542</v>
      </c>
      <c r="C7" s="50">
        <v>309000</v>
      </c>
      <c r="D7" s="50">
        <v>510000</v>
      </c>
      <c r="E7" s="50">
        <v>357000</v>
      </c>
      <c r="F7" s="50">
        <v>268000</v>
      </c>
      <c r="G7" s="17">
        <f t="shared" si="0"/>
        <v>1444000</v>
      </c>
      <c r="H7" s="17">
        <f t="shared" si="1"/>
        <v>212371.69547117321</v>
      </c>
      <c r="I7" s="17">
        <f t="shared" si="2"/>
        <v>1231628.3045288268</v>
      </c>
    </row>
    <row r="8" spans="1:9" ht="15.75" customHeight="1" x14ac:dyDescent="0.2">
      <c r="A8" s="5">
        <f t="shared" si="3"/>
        <v>2027</v>
      </c>
      <c r="B8" s="49">
        <v>184752.33960000001</v>
      </c>
      <c r="C8" s="50">
        <v>314000</v>
      </c>
      <c r="D8" s="50">
        <v>525000</v>
      </c>
      <c r="E8" s="50">
        <v>367000</v>
      </c>
      <c r="F8" s="50">
        <v>277000</v>
      </c>
      <c r="G8" s="17">
        <f t="shared" si="0"/>
        <v>1483000</v>
      </c>
      <c r="H8" s="17">
        <f t="shared" si="1"/>
        <v>215149.07520173903</v>
      </c>
      <c r="I8" s="17">
        <f t="shared" si="2"/>
        <v>1267850.9247982609</v>
      </c>
    </row>
    <row r="9" spans="1:9" ht="15.75" customHeight="1" x14ac:dyDescent="0.2">
      <c r="A9" s="5">
        <f t="shared" si="3"/>
        <v>2028</v>
      </c>
      <c r="B9" s="49">
        <v>187101.9374</v>
      </c>
      <c r="C9" s="50">
        <v>319000</v>
      </c>
      <c r="D9" s="50">
        <v>540000</v>
      </c>
      <c r="E9" s="50">
        <v>378000</v>
      </c>
      <c r="F9" s="50">
        <v>284000</v>
      </c>
      <c r="G9" s="17">
        <f t="shared" si="0"/>
        <v>1521000</v>
      </c>
      <c r="H9" s="17">
        <f t="shared" si="1"/>
        <v>217885.24511904837</v>
      </c>
      <c r="I9" s="17">
        <f t="shared" si="2"/>
        <v>1303114.7548809517</v>
      </c>
    </row>
    <row r="10" spans="1:9" ht="15.75" customHeight="1" x14ac:dyDescent="0.2">
      <c r="A10" s="5">
        <f t="shared" si="3"/>
        <v>2029</v>
      </c>
      <c r="B10" s="49">
        <v>189414.13879999999</v>
      </c>
      <c r="C10" s="50">
        <v>325000</v>
      </c>
      <c r="D10" s="50">
        <v>552000</v>
      </c>
      <c r="E10" s="50">
        <v>391000</v>
      </c>
      <c r="F10" s="50">
        <v>292000</v>
      </c>
      <c r="G10" s="17">
        <f t="shared" si="0"/>
        <v>1560000</v>
      </c>
      <c r="H10" s="17">
        <f t="shared" si="1"/>
        <v>220577.86592140037</v>
      </c>
      <c r="I10" s="17">
        <f t="shared" si="2"/>
        <v>1339422.1340785995</v>
      </c>
    </row>
    <row r="11" spans="1:9" ht="15.75" customHeight="1" x14ac:dyDescent="0.2">
      <c r="A11" s="5">
        <f t="shared" si="3"/>
        <v>2030</v>
      </c>
      <c r="B11" s="49">
        <v>191686.935</v>
      </c>
      <c r="C11" s="50">
        <v>330000</v>
      </c>
      <c r="D11" s="50">
        <v>566000</v>
      </c>
      <c r="E11" s="50">
        <v>405000</v>
      </c>
      <c r="F11" s="50">
        <v>299000</v>
      </c>
      <c r="G11" s="17">
        <f t="shared" si="0"/>
        <v>1600000</v>
      </c>
      <c r="H11" s="17">
        <f t="shared" si="1"/>
        <v>223224.59830709422</v>
      </c>
      <c r="I11" s="17">
        <f t="shared" si="2"/>
        <v>1376775.4016929057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C3MmK0duQGrL7O2m4xtCP6vcZxXvftco3KhzsnxhQMMB2iXcpRwd9HxTI9xRhxp1QyLRW9yipOUg87jPsanbhg==" saltValue="N5mAnlpMLEWYzUnYN4ctuw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x14ac:dyDescent="0.2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3" t="s">
        <v>78</v>
      </c>
      <c r="C5" s="8" t="s">
        <v>150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4"/>
      <c r="C6" s="8" t="s">
        <v>149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3" t="s">
        <v>74</v>
      </c>
      <c r="C8" s="8" t="s">
        <v>150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4"/>
      <c r="C9" s="8" t="s">
        <v>149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3" t="s">
        <v>77</v>
      </c>
      <c r="C11" s="8" t="s">
        <v>150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4"/>
      <c r="C12" s="8" t="s">
        <v>149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4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3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4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3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4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x14ac:dyDescent="0.2">
      <c r="A55" s="4" t="s">
        <v>237</v>
      </c>
      <c r="B55" s="103" t="s">
        <v>104</v>
      </c>
      <c r="C55" s="8" t="s">
        <v>150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4"/>
      <c r="C56" s="8" t="s">
        <v>149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4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3" t="s">
        <v>78</v>
      </c>
      <c r="C58" s="8" t="s">
        <v>150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4"/>
      <c r="C59" s="8" t="s">
        <v>149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4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3" t="s">
        <v>74</v>
      </c>
      <c r="C61" s="8" t="s">
        <v>150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4"/>
      <c r="C62" s="8" t="s">
        <v>149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4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3" t="s">
        <v>77</v>
      </c>
      <c r="C64" s="8" t="s">
        <v>150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4"/>
      <c r="C65" s="8" t="s">
        <v>149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4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3" t="s">
        <v>75</v>
      </c>
      <c r="C67" s="8" t="s">
        <v>150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4"/>
      <c r="C68" s="8" t="s">
        <v>149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4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148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243</v>
      </c>
      <c r="B72" s="103" t="s">
        <v>104</v>
      </c>
      <c r="C72" s="8" t="s">
        <v>150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4"/>
      <c r="C73" s="8" t="s">
        <v>149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4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3" t="s">
        <v>78</v>
      </c>
      <c r="C75" s="8" t="s">
        <v>150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4"/>
      <c r="C76" s="8" t="s">
        <v>149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4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3" t="s">
        <v>74</v>
      </c>
      <c r="C78" s="8" t="s">
        <v>150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4"/>
      <c r="C79" s="8" t="s">
        <v>149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4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3" t="s">
        <v>77</v>
      </c>
      <c r="C81" s="8" t="s">
        <v>150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4"/>
      <c r="C82" s="8" t="s">
        <v>149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4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3" t="s">
        <v>75</v>
      </c>
      <c r="C84" s="8" t="s">
        <v>150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4"/>
      <c r="C85" s="8" t="s">
        <v>149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4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148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240</v>
      </c>
      <c r="B89" s="103" t="s">
        <v>104</v>
      </c>
      <c r="C89" s="8" t="s">
        <v>150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4"/>
      <c r="C90" s="8" t="s">
        <v>149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4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3" t="s">
        <v>78</v>
      </c>
      <c r="C92" s="8" t="s">
        <v>150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4"/>
      <c r="C93" s="8" t="s">
        <v>149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4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3" t="s">
        <v>74</v>
      </c>
      <c r="C95" s="8" t="s">
        <v>150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4"/>
      <c r="C96" s="8" t="s">
        <v>149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4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3" t="s">
        <v>77</v>
      </c>
      <c r="C98" s="8" t="s">
        <v>150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4"/>
      <c r="C99" s="8" t="s">
        <v>149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4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3" t="s">
        <v>75</v>
      </c>
      <c r="C101" s="8" t="s">
        <v>150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4"/>
      <c r="C102" s="8" t="s">
        <v>149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4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148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x14ac:dyDescent="0.2">
      <c r="A108" s="4" t="s">
        <v>238</v>
      </c>
      <c r="B108" s="103" t="s">
        <v>104</v>
      </c>
      <c r="C108" s="8" t="s">
        <v>150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4"/>
      <c r="C109" s="8" t="s">
        <v>149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4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3" t="s">
        <v>78</v>
      </c>
      <c r="C111" s="8" t="s">
        <v>150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4"/>
      <c r="C112" s="8" t="s">
        <v>149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4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3" t="s">
        <v>74</v>
      </c>
      <c r="C114" s="8" t="s">
        <v>150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4"/>
      <c r="C115" s="8" t="s">
        <v>149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4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3" t="s">
        <v>77</v>
      </c>
      <c r="C117" s="8" t="s">
        <v>150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4"/>
      <c r="C118" s="8" t="s">
        <v>149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4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3" t="s">
        <v>75</v>
      </c>
      <c r="C120" s="8" t="s">
        <v>150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4"/>
      <c r="C121" s="8" t="s">
        <v>149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4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148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244</v>
      </c>
      <c r="B125" s="103" t="s">
        <v>104</v>
      </c>
      <c r="C125" s="8" t="s">
        <v>150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4"/>
      <c r="C126" s="8" t="s">
        <v>149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4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3" t="s">
        <v>78</v>
      </c>
      <c r="C128" s="8" t="s">
        <v>150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4"/>
      <c r="C129" s="8" t="s">
        <v>149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4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3" t="s">
        <v>74</v>
      </c>
      <c r="C131" s="8" t="s">
        <v>150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4"/>
      <c r="C132" s="8" t="s">
        <v>149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4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3" t="s">
        <v>77</v>
      </c>
      <c r="C134" s="8" t="s">
        <v>150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4"/>
      <c r="C135" s="8" t="s">
        <v>149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4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3" t="s">
        <v>75</v>
      </c>
      <c r="C137" s="8" t="s">
        <v>150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4"/>
      <c r="C138" s="8" t="s">
        <v>149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4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148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241</v>
      </c>
      <c r="B142" s="103" t="s">
        <v>104</v>
      </c>
      <c r="C142" s="8" t="s">
        <v>150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4"/>
      <c r="C143" s="8" t="s">
        <v>149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4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3" t="s">
        <v>78</v>
      </c>
      <c r="C145" s="8" t="s">
        <v>150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4"/>
      <c r="C146" s="8" t="s">
        <v>149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4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3" t="s">
        <v>74</v>
      </c>
      <c r="C148" s="8" t="s">
        <v>150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4"/>
      <c r="C149" s="8" t="s">
        <v>149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4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3" t="s">
        <v>77</v>
      </c>
      <c r="C151" s="8" t="s">
        <v>150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4"/>
      <c r="C152" s="8" t="s">
        <v>149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4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3" t="s">
        <v>75</v>
      </c>
      <c r="C154" s="8" t="s">
        <v>150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4"/>
      <c r="C155" s="8" t="s">
        <v>149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4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148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ZNbCji1TgZKamGoGcp8xft5UC5aTf5aYUbWbSPrwC9reQpUMgRx0xCHy3vFeNj4SFmT0HVfmUR/Y7kPS6Wg71A==" saltValue="iIsMWbcrqaZiZlyJX70WEA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248</v>
      </c>
    </row>
    <row r="2" spans="1:6" ht="15.75" customHeight="1" x14ac:dyDescent="0.2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2">
      <c r="A3" s="4" t="s">
        <v>255</v>
      </c>
      <c r="B3" s="14"/>
      <c r="C3" s="71"/>
      <c r="D3" s="72"/>
      <c r="E3" s="72"/>
      <c r="F3" s="72"/>
    </row>
    <row r="4" spans="1:6" ht="15.75" customHeight="1" x14ac:dyDescent="0.2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261</v>
      </c>
      <c r="C11" s="74"/>
      <c r="D11" s="75"/>
      <c r="E11" s="75"/>
      <c r="F11" s="75"/>
    </row>
    <row r="12" spans="1:6" ht="15.75" customHeight="1" x14ac:dyDescent="0.2">
      <c r="A12" s="4" t="s">
        <v>249</v>
      </c>
      <c r="C12" s="73"/>
      <c r="D12" s="64"/>
      <c r="E12" s="64"/>
      <c r="F12" s="64"/>
    </row>
    <row r="13" spans="1:6" ht="15.75" customHeight="1" x14ac:dyDescent="0.2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97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95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91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248</v>
      </c>
    </row>
    <row r="29" spans="1:6" ht="15.75" customHeight="1" x14ac:dyDescent="0.2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2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">
      <c r="B31" s="5" t="s">
        <v>27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63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10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11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253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2">
      <c r="A39" s="4" t="s">
        <v>250</v>
      </c>
      <c r="C39" s="73"/>
      <c r="D39" s="64"/>
      <c r="E39" s="64"/>
      <c r="F39" s="64"/>
    </row>
    <row r="40" spans="1:6" ht="15.75" customHeight="1" x14ac:dyDescent="0.2">
      <c r="B40" s="11" t="s">
        <v>265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246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262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">
      <c r="B45" s="5" t="s">
        <v>93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97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95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91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96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98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92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94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248</v>
      </c>
    </row>
    <row r="56" spans="1:6" ht="15.75" customHeight="1" x14ac:dyDescent="0.2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2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">
      <c r="B58" s="5" t="s">
        <v>27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63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10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11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254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2">
      <c r="A66" s="4" t="s">
        <v>251</v>
      </c>
      <c r="C66" s="73"/>
      <c r="D66" s="64"/>
      <c r="E66" s="64"/>
      <c r="F66" s="64"/>
    </row>
    <row r="67" spans="1:6" ht="15.75" customHeight="1" x14ac:dyDescent="0.2">
      <c r="B67" s="11" t="s">
        <v>266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247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263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">
      <c r="B72" s="5" t="s">
        <v>93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97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95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91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96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98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92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94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hAIwwAd/5tkmexQWIIVcpTJGEFcp51QW2IWqpXCs9L7A4IGC3OuCl+y/hTbcI12TUiie43GvS7RhkF0OMtqePw==" saltValue="gXUttq7poQ8ZWRWtMFNvj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278</v>
      </c>
    </row>
    <row r="2" spans="1:16" x14ac:dyDescent="0.2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279</v>
      </c>
    </row>
    <row r="29" spans="1:16" x14ac:dyDescent="0.2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276</v>
      </c>
    </row>
    <row r="56" spans="1:16" ht="26.45" customHeight="1" x14ac:dyDescent="0.2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x14ac:dyDescent="0.2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277</v>
      </c>
    </row>
    <row r="65" spans="1:16" ht="26.45" customHeight="1" x14ac:dyDescent="0.2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93</v>
      </c>
      <c r="C66" s="3" t="s">
        <v>124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97</v>
      </c>
      <c r="C70" s="3" t="s">
        <v>124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95</v>
      </c>
      <c r="C74" s="3" t="s">
        <v>124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280</v>
      </c>
    </row>
    <row r="104" spans="1:16" ht="26.45" customHeight="1" x14ac:dyDescent="0.2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x14ac:dyDescent="0.2">
      <c r="A113" s="4"/>
      <c r="B113" s="8" t="s">
        <v>84</v>
      </c>
      <c r="C113" s="3" t="s">
        <v>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273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274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272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102</v>
      </c>
      <c r="C117" s="3" t="s">
        <v>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273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274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272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273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274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272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3</v>
      </c>
      <c r="C125" s="3" t="s">
        <v>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273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274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272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2</v>
      </c>
      <c r="C129" s="3" t="s">
        <v>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273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274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272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99</v>
      </c>
      <c r="C133" s="3" t="s">
        <v>7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273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274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272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x14ac:dyDescent="0.2">
      <c r="A140" s="4"/>
      <c r="B140" s="8" t="s">
        <v>84</v>
      </c>
      <c r="C140" s="3" t="s">
        <v>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273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6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207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102</v>
      </c>
      <c r="C144" s="3" t="s">
        <v>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273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6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207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273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6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207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3</v>
      </c>
      <c r="C152" s="3" t="s">
        <v>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273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6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207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2</v>
      </c>
      <c r="C156" s="3" t="s">
        <v>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273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6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207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99</v>
      </c>
      <c r="C160" s="3" t="s">
        <v>7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273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6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207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x14ac:dyDescent="0.2">
      <c r="A167" s="4"/>
      <c r="B167" s="8" t="s">
        <v>81</v>
      </c>
      <c r="C167" s="3" t="s">
        <v>275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268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89</v>
      </c>
      <c r="C169" s="3" t="s">
        <v>275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268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275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268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x14ac:dyDescent="0.2">
      <c r="A176" s="82"/>
      <c r="B176" s="8" t="s">
        <v>93</v>
      </c>
      <c r="C176" s="3" t="s">
        <v>124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127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126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125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97</v>
      </c>
      <c r="C180" s="3" t="s">
        <v>124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127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126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125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95</v>
      </c>
      <c r="C184" s="3" t="s">
        <v>124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127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126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125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96</v>
      </c>
      <c r="C188" s="3" t="s">
        <v>124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127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126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125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84</v>
      </c>
      <c r="C192" s="3" t="s">
        <v>124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127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126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125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102</v>
      </c>
      <c r="C196" s="3" t="s">
        <v>124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127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126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125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124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127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126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125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2</v>
      </c>
      <c r="C204" s="3" t="s">
        <v>124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127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126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125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101</v>
      </c>
      <c r="C208" s="3" t="s">
        <v>124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127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126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125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x14ac:dyDescent="0.2">
      <c r="A215" s="4"/>
      <c r="C215" s="3" t="s">
        <v>124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127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126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125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245</v>
      </c>
      <c r="H220" s="92"/>
    </row>
    <row r="221" spans="1:9" x14ac:dyDescent="0.2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x14ac:dyDescent="0.2">
      <c r="A223" s="4"/>
      <c r="B223" s="8" t="s">
        <v>84</v>
      </c>
      <c r="C223" s="3" t="s">
        <v>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273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274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272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102</v>
      </c>
      <c r="C227" s="3" t="s">
        <v>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273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274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272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273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274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272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3</v>
      </c>
      <c r="C235" s="3" t="s">
        <v>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273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274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272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2</v>
      </c>
      <c r="C239" s="3" t="s">
        <v>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273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274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272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99</v>
      </c>
      <c r="C243" s="3" t="s">
        <v>7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273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274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272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x14ac:dyDescent="0.2">
      <c r="A250" s="4"/>
      <c r="B250" s="8" t="s">
        <v>84</v>
      </c>
      <c r="C250" s="3" t="s">
        <v>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273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6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207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102</v>
      </c>
      <c r="C254" s="3" t="s">
        <v>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273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6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207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273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6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207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3</v>
      </c>
      <c r="C262" s="3" t="s">
        <v>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273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6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207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2</v>
      </c>
      <c r="C266" s="3" t="s">
        <v>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273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6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207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99</v>
      </c>
      <c r="C270" s="3" t="s">
        <v>7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273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6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207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x14ac:dyDescent="0.2">
      <c r="A277" s="4"/>
      <c r="B277" s="8" t="s">
        <v>81</v>
      </c>
      <c r="C277" s="3" t="s">
        <v>275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268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89</v>
      </c>
      <c r="C279" s="3" t="s">
        <v>275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268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275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268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x14ac:dyDescent="0.2">
      <c r="A286" s="82"/>
      <c r="B286" s="8" t="s">
        <v>93</v>
      </c>
      <c r="C286" s="3" t="s">
        <v>124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127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126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125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97</v>
      </c>
      <c r="C290" s="3" t="s">
        <v>124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127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126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125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95</v>
      </c>
      <c r="C294" s="3" t="s">
        <v>124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127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126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125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96</v>
      </c>
      <c r="C298" s="3" t="s">
        <v>124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127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126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125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84</v>
      </c>
      <c r="C302" s="3" t="s">
        <v>124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127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126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125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102</v>
      </c>
      <c r="C306" s="3" t="s">
        <v>124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127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126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125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124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127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126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125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2</v>
      </c>
      <c r="C314" s="3" t="s">
        <v>124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127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126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125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101</v>
      </c>
      <c r="C318" s="3" t="s">
        <v>124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127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126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125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x14ac:dyDescent="0.2">
      <c r="A325" s="4"/>
      <c r="C325" s="3" t="s">
        <v>124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127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126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125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xd3BRg9iYrFShsQY3bVk9+HelqgbnsEVv/cizu3uVQiwX8Te64CM4IfPnB/vyfRzP7xaBD7wuW3zNW4FVzZgYA==" saltValue="7ChNHwTyEfMUmwGvLC5ri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313</v>
      </c>
    </row>
    <row r="2" spans="1:7" ht="14.25" customHeight="1" x14ac:dyDescent="0.2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283</v>
      </c>
    </row>
    <row r="6" spans="1:7" ht="14.25" customHeight="1" x14ac:dyDescent="0.2">
      <c r="B6" s="5" t="s">
        <v>193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204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307</v>
      </c>
    </row>
    <row r="12" spans="1:7" ht="14.25" customHeight="1" x14ac:dyDescent="0.2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314</v>
      </c>
    </row>
    <row r="15" spans="1:7" ht="14.25" customHeight="1" x14ac:dyDescent="0.2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310</v>
      </c>
    </row>
    <row r="20" spans="1:7" s="14" customFormat="1" ht="14.25" customHeight="1" x14ac:dyDescent="0.2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313</v>
      </c>
      <c r="B24" s="68"/>
      <c r="C24" s="68"/>
      <c r="D24" s="68"/>
      <c r="E24" s="68"/>
      <c r="F24" s="68"/>
      <c r="G24" s="68"/>
    </row>
    <row r="25" spans="1:7" x14ac:dyDescent="0.2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">
      <c r="B26" s="11" t="s">
        <v>301</v>
      </c>
      <c r="C26" s="90" t="s">
        <v>8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287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284</v>
      </c>
    </row>
    <row r="29" spans="1:7" x14ac:dyDescent="0.2">
      <c r="B29" s="5" t="s">
        <v>315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305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319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317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308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314</v>
      </c>
      <c r="B37" s="68"/>
      <c r="C37" s="68"/>
      <c r="D37" s="68"/>
      <c r="E37" s="68"/>
      <c r="F37" s="68"/>
      <c r="G37" s="68"/>
    </row>
    <row r="38" spans="1:7" x14ac:dyDescent="0.2">
      <c r="A38" s="82" t="s">
        <v>282</v>
      </c>
      <c r="B38" s="5" t="s">
        <v>295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105</v>
      </c>
      <c r="B40" s="11" t="s">
        <v>298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311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">
      <c r="B44" s="11" t="s">
        <v>289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245</v>
      </c>
    </row>
    <row r="47" spans="1:7" x14ac:dyDescent="0.2">
      <c r="A47" s="67" t="s">
        <v>313</v>
      </c>
      <c r="B47" s="68"/>
      <c r="C47" s="68"/>
      <c r="D47" s="68"/>
      <c r="E47" s="68"/>
      <c r="F47" s="68"/>
      <c r="G47" s="68"/>
    </row>
    <row r="48" spans="1:7" x14ac:dyDescent="0.2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">
      <c r="B49" s="11" t="s">
        <v>302</v>
      </c>
      <c r="C49" s="90" t="s">
        <v>8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288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285</v>
      </c>
    </row>
    <row r="52" spans="1:7" x14ac:dyDescent="0.2">
      <c r="B52" s="5" t="s">
        <v>316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320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318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309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314</v>
      </c>
      <c r="B60" s="68"/>
      <c r="C60" s="68"/>
      <c r="D60" s="68"/>
      <c r="E60" s="68"/>
      <c r="F60" s="68"/>
      <c r="G60" s="68"/>
    </row>
    <row r="61" spans="1:7" x14ac:dyDescent="0.2">
      <c r="A61" s="82" t="s">
        <v>282</v>
      </c>
      <c r="B61" s="5" t="s">
        <v>296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293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105</v>
      </c>
      <c r="B63" s="11" t="s">
        <v>299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312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">
      <c r="B67" s="11" t="s">
        <v>290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H6ZuL7tcZmej1t6/2krjzZlfKkCFkaakCNEtJOBOYoNWUbgllAc3BbvvcQo1QmIZsPGEF0Uw4Pf01+C7UEGitw==" saltValue="MxXkeE+5TF2DzwVMNbvRQ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">
      <c r="A2" s="5" t="s">
        <v>165</v>
      </c>
      <c r="B2" s="5" t="s">
        <v>322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178</v>
      </c>
      <c r="B4" s="5" t="s">
        <v>322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179</v>
      </c>
      <c r="B6" s="5" t="s">
        <v>322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191</v>
      </c>
      <c r="B12" s="5" t="s">
        <v>322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">
      <c r="A17" s="5" t="s">
        <v>165</v>
      </c>
      <c r="B17" s="5" t="s">
        <v>322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178</v>
      </c>
      <c r="B19" s="5" t="s">
        <v>322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179</v>
      </c>
      <c r="B21" s="5" t="s">
        <v>322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180</v>
      </c>
      <c r="B23" s="5" t="s">
        <v>322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185</v>
      </c>
      <c r="B25" s="5" t="s">
        <v>322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191</v>
      </c>
      <c r="B27" s="5" t="s">
        <v>322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245</v>
      </c>
    </row>
    <row r="31" spans="1:6" ht="15.75" customHeight="1" x14ac:dyDescent="0.2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">
      <c r="A32" s="5" t="s">
        <v>165</v>
      </c>
      <c r="B32" s="5" t="s">
        <v>322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178</v>
      </c>
      <c r="B34" s="5" t="s">
        <v>322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179</v>
      </c>
      <c r="B36" s="5" t="s">
        <v>322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180</v>
      </c>
      <c r="B38" s="5" t="s">
        <v>322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185</v>
      </c>
      <c r="B40" s="5" t="s">
        <v>322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191</v>
      </c>
      <c r="B42" s="5" t="s">
        <v>322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iTmaS9veln604pRcnLZNol/icWMsUOfQdzZl08+Aa2GvWKP4h8Mvrk/Nn5DsjB1gTpyNdIq08DWQ5p6rpPhOXQ==" saltValue="9LKUphyiVusHITUhdX4mw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x14ac:dyDescent="0.2">
      <c r="A2" s="4" t="s">
        <v>326</v>
      </c>
    </row>
    <row r="3" spans="1:15" x14ac:dyDescent="0.2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204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323</v>
      </c>
      <c r="B17" s="11"/>
    </row>
    <row r="18" spans="1:15" x14ac:dyDescent="0.2">
      <c r="B18" s="5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x14ac:dyDescent="0.2">
      <c r="A25" s="4" t="s">
        <v>327</v>
      </c>
    </row>
    <row r="26" spans="1:15" x14ac:dyDescent="0.2">
      <c r="B26" s="11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190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191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204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324</v>
      </c>
      <c r="B40" s="11"/>
    </row>
    <row r="41" spans="1:15" x14ac:dyDescent="0.2">
      <c r="B41" s="5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245</v>
      </c>
    </row>
    <row r="47" spans="1:15" ht="26.45" customHeight="1" x14ac:dyDescent="0.2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x14ac:dyDescent="0.2">
      <c r="A48" s="4" t="s">
        <v>328</v>
      </c>
    </row>
    <row r="49" spans="1:15" x14ac:dyDescent="0.2">
      <c r="B49" s="11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190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191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204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325</v>
      </c>
      <c r="B63" s="11"/>
    </row>
    <row r="64" spans="1:15" x14ac:dyDescent="0.2">
      <c r="B64" s="5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+5Ae97alrfAnxXt6u7Rv33uxI/eD1CEvh/Lpdh8jd7uQiSb/sCTwkRQCLMUbl91dpfau5JsVXgQjk7B/VpqLDg==" saltValue="5YTZonCOLKkg5ivnE5ZN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x14ac:dyDescent="0.2">
      <c r="A2" s="4" t="s">
        <v>333</v>
      </c>
    </row>
    <row r="3" spans="1:7" x14ac:dyDescent="0.2">
      <c r="B3" s="11" t="s">
        <v>164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330</v>
      </c>
      <c r="B4" s="11"/>
      <c r="C4" s="83"/>
      <c r="D4" s="83"/>
      <c r="E4" s="83"/>
      <c r="F4" s="83"/>
      <c r="G4" s="83"/>
    </row>
    <row r="5" spans="1:7" x14ac:dyDescent="0.2">
      <c r="B5" s="5" t="s">
        <v>162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329</v>
      </c>
    </row>
    <row r="8" spans="1:7" x14ac:dyDescent="0.2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x14ac:dyDescent="0.2">
      <c r="A9" s="4" t="s">
        <v>334</v>
      </c>
    </row>
    <row r="10" spans="1:7" x14ac:dyDescent="0.2">
      <c r="B10" s="11" t="s">
        <v>164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331</v>
      </c>
      <c r="B11" s="11"/>
      <c r="C11" s="83"/>
      <c r="D11" s="83"/>
      <c r="E11" s="83"/>
      <c r="F11" s="83"/>
      <c r="G11" s="83"/>
    </row>
    <row r="12" spans="1:7" x14ac:dyDescent="0.2">
      <c r="B12" s="5" t="s">
        <v>162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336</v>
      </c>
    </row>
    <row r="15" spans="1:7" x14ac:dyDescent="0.2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x14ac:dyDescent="0.2">
      <c r="A16" s="4" t="s">
        <v>335</v>
      </c>
    </row>
    <row r="17" spans="1:7" x14ac:dyDescent="0.2">
      <c r="B17" s="11" t="s">
        <v>164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332</v>
      </c>
      <c r="B18" s="11"/>
      <c r="C18" s="83"/>
      <c r="D18" s="83"/>
      <c r="E18" s="83"/>
      <c r="F18" s="83"/>
      <c r="G18" s="83"/>
    </row>
    <row r="19" spans="1:7" x14ac:dyDescent="0.2">
      <c r="B19" s="5" t="s">
        <v>162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6XLAsCTqRgH2G4ZZAKOvOfLkK6oIUWZFwwhNu9DPBlqOjHM3LToli3zJecSIty0qF+JahrOnHVFYycimvZhAaw==" saltValue="BdKuul8lqG0WB6A27qc6i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338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338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6</v>
      </c>
      <c r="C7" s="5" t="s">
        <v>337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338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338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6</v>
      </c>
      <c r="C11" s="5" t="s">
        <v>337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338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338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6</v>
      </c>
      <c r="C15" s="5" t="s">
        <v>337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338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338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6</v>
      </c>
      <c r="C19" s="5" t="s">
        <v>337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338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173</v>
      </c>
      <c r="B21" s="5" t="s">
        <v>92</v>
      </c>
      <c r="C21" s="5" t="s">
        <v>337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171</v>
      </c>
      <c r="B23" s="5" t="s">
        <v>92</v>
      </c>
      <c r="C23" s="5" t="s">
        <v>337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172</v>
      </c>
      <c r="B25" s="5" t="s">
        <v>92</v>
      </c>
      <c r="C25" s="5" t="s">
        <v>337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203</v>
      </c>
      <c r="B42" s="5" t="s">
        <v>84</v>
      </c>
      <c r="C42" s="5" t="s">
        <v>337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338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338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202</v>
      </c>
      <c r="B50" s="5" t="s">
        <v>84</v>
      </c>
      <c r="C50" s="5" t="s">
        <v>337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329</v>
      </c>
      <c r="B55" s="97"/>
      <c r="C55" s="97"/>
    </row>
    <row r="56" spans="1:8" x14ac:dyDescent="0.2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">
      <c r="A57" s="5" t="s">
        <v>196</v>
      </c>
      <c r="B57" s="5" t="s">
        <v>84</v>
      </c>
      <c r="C57" s="5" t="s">
        <v>337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338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338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204</v>
      </c>
      <c r="B68" s="5" t="s">
        <v>207</v>
      </c>
      <c r="C68" s="5" t="s">
        <v>337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338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6</v>
      </c>
      <c r="C70" s="5" t="s">
        <v>337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338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167</v>
      </c>
      <c r="B72" s="5" t="s">
        <v>207</v>
      </c>
      <c r="C72" s="5" t="s">
        <v>337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338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6</v>
      </c>
      <c r="C74" s="5" t="s">
        <v>337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338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173</v>
      </c>
      <c r="B76" s="5" t="s">
        <v>92</v>
      </c>
      <c r="C76" s="5" t="s">
        <v>337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171</v>
      </c>
      <c r="B78" s="5" t="s">
        <v>92</v>
      </c>
      <c r="C78" s="5" t="s">
        <v>337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172</v>
      </c>
      <c r="B80" s="5" t="s">
        <v>92</v>
      </c>
      <c r="C80" s="5" t="s">
        <v>337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200</v>
      </c>
      <c r="B82" s="5" t="s">
        <v>84</v>
      </c>
      <c r="C82" s="5" t="s">
        <v>337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338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201</v>
      </c>
      <c r="B85" s="5" t="s">
        <v>84</v>
      </c>
      <c r="C85" s="5" t="s">
        <v>337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338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199</v>
      </c>
      <c r="B88" s="5" t="s">
        <v>84</v>
      </c>
      <c r="C88" s="5" t="s">
        <v>337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338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198</v>
      </c>
      <c r="B91" s="5" t="s">
        <v>84</v>
      </c>
      <c r="C91" s="5" t="s">
        <v>337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338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197</v>
      </c>
      <c r="B94" s="5" t="s">
        <v>84</v>
      </c>
      <c r="C94" s="5" t="s">
        <v>337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338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203</v>
      </c>
      <c r="B97" s="5" t="s">
        <v>84</v>
      </c>
      <c r="C97" s="5" t="s">
        <v>337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338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102</v>
      </c>
      <c r="C100" s="5" t="s">
        <v>337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338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192</v>
      </c>
      <c r="B103" s="5" t="s">
        <v>84</v>
      </c>
      <c r="C103" s="5" t="s">
        <v>337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202</v>
      </c>
      <c r="B105" s="5" t="s">
        <v>84</v>
      </c>
      <c r="C105" s="5" t="s">
        <v>337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182</v>
      </c>
      <c r="B107" s="5" t="s">
        <v>96</v>
      </c>
      <c r="C107" s="5" t="s">
        <v>337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336</v>
      </c>
      <c r="B110" s="97"/>
      <c r="C110" s="97"/>
    </row>
    <row r="111" spans="1:8" x14ac:dyDescent="0.2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">
      <c r="A112" s="5" t="s">
        <v>196</v>
      </c>
      <c r="B112" s="5" t="s">
        <v>84</v>
      </c>
      <c r="C112" s="5" t="s">
        <v>337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338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193</v>
      </c>
      <c r="B115" s="5" t="s">
        <v>207</v>
      </c>
      <c r="C115" s="5" t="s">
        <v>337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338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6</v>
      </c>
      <c r="C117" s="5" t="s">
        <v>337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338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184</v>
      </c>
      <c r="B119" s="5" t="s">
        <v>207</v>
      </c>
      <c r="C119" s="5" t="s">
        <v>337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338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6</v>
      </c>
      <c r="C121" s="5" t="s">
        <v>337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338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338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338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173</v>
      </c>
      <c r="B131" s="5" t="s">
        <v>92</v>
      </c>
      <c r="C131" s="5" t="s">
        <v>337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171</v>
      </c>
      <c r="B133" s="5" t="s">
        <v>92</v>
      </c>
      <c r="C133" s="5" t="s">
        <v>337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172</v>
      </c>
      <c r="B135" s="5" t="s">
        <v>92</v>
      </c>
      <c r="C135" s="5" t="s">
        <v>337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200</v>
      </c>
      <c r="B137" s="5" t="s">
        <v>84</v>
      </c>
      <c r="C137" s="5" t="s">
        <v>337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338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201</v>
      </c>
      <c r="B140" s="5" t="s">
        <v>84</v>
      </c>
      <c r="C140" s="5" t="s">
        <v>337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338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199</v>
      </c>
      <c r="B143" s="5" t="s">
        <v>84</v>
      </c>
      <c r="C143" s="5" t="s">
        <v>337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338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198</v>
      </c>
      <c r="B146" s="5" t="s">
        <v>84</v>
      </c>
      <c r="C146" s="5" t="s">
        <v>337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338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197</v>
      </c>
      <c r="B149" s="5" t="s">
        <v>84</v>
      </c>
      <c r="C149" s="5" t="s">
        <v>337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338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203</v>
      </c>
      <c r="B152" s="5" t="s">
        <v>84</v>
      </c>
      <c r="C152" s="5" t="s">
        <v>337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338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102</v>
      </c>
      <c r="C155" s="5" t="s">
        <v>337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338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192</v>
      </c>
      <c r="B158" s="5" t="s">
        <v>84</v>
      </c>
      <c r="C158" s="5" t="s">
        <v>337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202</v>
      </c>
      <c r="B160" s="5" t="s">
        <v>84</v>
      </c>
      <c r="C160" s="5" t="s">
        <v>337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182</v>
      </c>
      <c r="B162" s="5" t="s">
        <v>96</v>
      </c>
      <c r="C162" s="5" t="s">
        <v>337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AqY3bLXsIOHLHqzwLUlr0caDF4ejby4MaReW87yPBs6gbRwY8hbiyXP+foidXOaaPjyFLRHEml4oRfPXVlDagQ==" saltValue="JCRBf4r3ij58oSmaDtlOi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329</v>
      </c>
    </row>
    <row r="10" spans="1:8" x14ac:dyDescent="0.2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">
      <c r="A11" s="3" t="s">
        <v>166</v>
      </c>
      <c r="B11" s="8" t="s">
        <v>86</v>
      </c>
      <c r="C11" s="3" t="s">
        <v>337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189</v>
      </c>
      <c r="B13" s="8" t="s">
        <v>86</v>
      </c>
      <c r="C13" s="3" t="s">
        <v>337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188</v>
      </c>
      <c r="B15" s="8" t="s">
        <v>86</v>
      </c>
      <c r="C15" s="3" t="s">
        <v>337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336</v>
      </c>
    </row>
    <row r="19" spans="1:7" x14ac:dyDescent="0.2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">
      <c r="A20" s="3" t="s">
        <v>166</v>
      </c>
      <c r="B20" s="8" t="s">
        <v>86</v>
      </c>
      <c r="C20" s="3" t="s">
        <v>337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189</v>
      </c>
      <c r="B22" s="8" t="s">
        <v>86</v>
      </c>
      <c r="C22" s="3" t="s">
        <v>337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188</v>
      </c>
      <c r="B24" s="8" t="s">
        <v>86</v>
      </c>
      <c r="C24" s="3" t="s">
        <v>337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fwSH34LY3REAPsJSkhxzhIgxU7HAP5ONThjuPv/eolAxhABmfiA0vbcvoa6tqXQLo269xMISW6egIENDk8lhig==" saltValue="Y0jkuRW5RHk9G0F6P0cq+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">
      <c r="B3" s="19" t="s">
        <v>93</v>
      </c>
      <c r="C3" s="55">
        <v>3.7266381809530221E-3</v>
      </c>
    </row>
    <row r="4" spans="1:8" ht="15.75" customHeight="1" x14ac:dyDescent="0.2">
      <c r="B4" s="19" t="s">
        <v>97</v>
      </c>
      <c r="C4" s="101">
        <v>0.195706331436307</v>
      </c>
    </row>
    <row r="5" spans="1:8" ht="15.75" customHeight="1" x14ac:dyDescent="0.2">
      <c r="B5" s="19" t="s">
        <v>95</v>
      </c>
      <c r="C5" s="101">
        <v>6.5721135415244603E-2</v>
      </c>
    </row>
    <row r="6" spans="1:8" ht="15.75" customHeight="1" x14ac:dyDescent="0.2">
      <c r="B6" s="19" t="s">
        <v>91</v>
      </c>
      <c r="C6" s="101">
        <v>0.27883164309684211</v>
      </c>
    </row>
    <row r="7" spans="1:8" ht="15.75" customHeight="1" x14ac:dyDescent="0.2">
      <c r="B7" s="19" t="s">
        <v>96</v>
      </c>
      <c r="C7" s="101">
        <v>0.2847147321761721</v>
      </c>
    </row>
    <row r="8" spans="1:8" ht="15.75" customHeight="1" x14ac:dyDescent="0.2">
      <c r="B8" s="19" t="s">
        <v>98</v>
      </c>
      <c r="C8" s="101">
        <v>4.8816202717355522E-3</v>
      </c>
    </row>
    <row r="9" spans="1:8" ht="15.75" customHeight="1" x14ac:dyDescent="0.2">
      <c r="B9" s="19" t="s">
        <v>92</v>
      </c>
      <c r="C9" s="101">
        <v>8.9211207629896011E-2</v>
      </c>
    </row>
    <row r="10" spans="1:8" ht="15.75" customHeight="1" x14ac:dyDescent="0.2">
      <c r="B10" s="19" t="s">
        <v>94</v>
      </c>
      <c r="C10" s="101">
        <v>7.7206691792849585E-2</v>
      </c>
    </row>
    <row r="11" spans="1:8" ht="15.75" customHeight="1" x14ac:dyDescent="0.2">
      <c r="B11" s="27" t="s">
        <v>60</v>
      </c>
      <c r="C11" s="48">
        <f>SUM(C3:C10)</f>
        <v>1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">
      <c r="B14" s="19" t="s">
        <v>84</v>
      </c>
      <c r="C14" s="55">
        <v>0.1055407237395327</v>
      </c>
      <c r="D14" s="55">
        <v>0.1055407237395327</v>
      </c>
      <c r="E14" s="55">
        <v>0.1055407237395327</v>
      </c>
      <c r="F14" s="55">
        <v>0.1055407237395327</v>
      </c>
    </row>
    <row r="15" spans="1:8" ht="15.75" customHeight="1" x14ac:dyDescent="0.2">
      <c r="B15" s="19" t="s">
        <v>102</v>
      </c>
      <c r="C15" s="101">
        <v>0.1600012748932072</v>
      </c>
      <c r="D15" s="101">
        <v>0.1600012748932072</v>
      </c>
      <c r="E15" s="101">
        <v>0.1600012748932072</v>
      </c>
      <c r="F15" s="101">
        <v>0.1600012748932072</v>
      </c>
    </row>
    <row r="16" spans="1:8" ht="15.75" customHeight="1" x14ac:dyDescent="0.2">
      <c r="B16" s="19" t="s">
        <v>2</v>
      </c>
      <c r="C16" s="101">
        <v>3.7722756147763971E-2</v>
      </c>
      <c r="D16" s="101">
        <v>3.7722756147763971E-2</v>
      </c>
      <c r="E16" s="101">
        <v>3.7722756147763971E-2</v>
      </c>
      <c r="F16" s="101">
        <v>3.7722756147763971E-2</v>
      </c>
    </row>
    <row r="17" spans="1:8" ht="15.75" customHeight="1" x14ac:dyDescent="0.2">
      <c r="B17" s="19" t="s">
        <v>90</v>
      </c>
      <c r="C17" s="101">
        <v>0.20039874708894451</v>
      </c>
      <c r="D17" s="101">
        <v>0.20039874708894451</v>
      </c>
      <c r="E17" s="101">
        <v>0.20039874708894451</v>
      </c>
      <c r="F17" s="101">
        <v>0.20039874708894451</v>
      </c>
    </row>
    <row r="18" spans="1:8" ht="15.75" customHeight="1" x14ac:dyDescent="0.2">
      <c r="B18" s="19" t="s">
        <v>3</v>
      </c>
      <c r="C18" s="101">
        <v>0.13227693957349601</v>
      </c>
      <c r="D18" s="101">
        <v>0.13227693957349601</v>
      </c>
      <c r="E18" s="101">
        <v>0.13227693957349601</v>
      </c>
      <c r="F18" s="101">
        <v>0.13227693957349601</v>
      </c>
    </row>
    <row r="19" spans="1:8" ht="15.75" customHeight="1" x14ac:dyDescent="0.2">
      <c r="B19" s="19" t="s">
        <v>101</v>
      </c>
      <c r="C19" s="101">
        <v>1.9285048735738351E-2</v>
      </c>
      <c r="D19" s="101">
        <v>1.9285048735738351E-2</v>
      </c>
      <c r="E19" s="101">
        <v>1.9285048735738351E-2</v>
      </c>
      <c r="F19" s="101">
        <v>1.9285048735738351E-2</v>
      </c>
    </row>
    <row r="20" spans="1:8" ht="15.75" customHeight="1" x14ac:dyDescent="0.2">
      <c r="B20" s="19" t="s">
        <v>79</v>
      </c>
      <c r="C20" s="101">
        <v>1.459804483594266E-2</v>
      </c>
      <c r="D20" s="101">
        <v>1.459804483594266E-2</v>
      </c>
      <c r="E20" s="101">
        <v>1.459804483594266E-2</v>
      </c>
      <c r="F20" s="101">
        <v>1.459804483594266E-2</v>
      </c>
    </row>
    <row r="21" spans="1:8" ht="15.75" customHeight="1" x14ac:dyDescent="0.2">
      <c r="B21" s="19" t="s">
        <v>88</v>
      </c>
      <c r="C21" s="101">
        <v>8.3440749082531351E-2</v>
      </c>
      <c r="D21" s="101">
        <v>8.3440749082531351E-2</v>
      </c>
      <c r="E21" s="101">
        <v>8.3440749082531351E-2</v>
      </c>
      <c r="F21" s="101">
        <v>8.3440749082531351E-2</v>
      </c>
    </row>
    <row r="22" spans="1:8" ht="15.75" customHeight="1" x14ac:dyDescent="0.2">
      <c r="B22" s="19" t="s">
        <v>99</v>
      </c>
      <c r="C22" s="101">
        <v>0.2467357159028431</v>
      </c>
      <c r="D22" s="101">
        <v>0.2467357159028431</v>
      </c>
      <c r="E22" s="101">
        <v>0.2467357159028431</v>
      </c>
      <c r="F22" s="101">
        <v>0.2467357159028431</v>
      </c>
    </row>
    <row r="23" spans="1:8" ht="15.75" customHeight="1" x14ac:dyDescent="0.2">
      <c r="B23" s="27" t="s">
        <v>60</v>
      </c>
      <c r="C23" s="48">
        <f>SUM(C14:C22)</f>
        <v>0.99999999999999978</v>
      </c>
      <c r="D23" s="48">
        <f>SUM(D14:D22)</f>
        <v>0.99999999999999978</v>
      </c>
      <c r="E23" s="48">
        <f>SUM(E14:E22)</f>
        <v>0.99999999999999978</v>
      </c>
      <c r="F23" s="48">
        <f>SUM(F14:F22)</f>
        <v>0.99999999999999978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">
      <c r="B26" s="19" t="s">
        <v>81</v>
      </c>
      <c r="C26" s="55">
        <v>8.7635818000000004E-2</v>
      </c>
    </row>
    <row r="27" spans="1:8" ht="15.75" customHeight="1" x14ac:dyDescent="0.2">
      <c r="B27" s="19" t="s">
        <v>89</v>
      </c>
      <c r="C27" s="101">
        <v>8.6621349999999996E-3</v>
      </c>
    </row>
    <row r="28" spans="1:8" ht="15.75" customHeight="1" x14ac:dyDescent="0.2">
      <c r="B28" s="19" t="s">
        <v>103</v>
      </c>
      <c r="C28" s="101">
        <v>0.15441808500000001</v>
      </c>
    </row>
    <row r="29" spans="1:8" ht="15.75" customHeight="1" x14ac:dyDescent="0.2">
      <c r="B29" s="19" t="s">
        <v>86</v>
      </c>
      <c r="C29" s="101">
        <v>0.167759189</v>
      </c>
    </row>
    <row r="30" spans="1:8" ht="15.75" customHeight="1" x14ac:dyDescent="0.2">
      <c r="B30" s="19" t="s">
        <v>4</v>
      </c>
      <c r="C30" s="101">
        <v>0.10583751800000001</v>
      </c>
    </row>
    <row r="31" spans="1:8" ht="15.75" customHeight="1" x14ac:dyDescent="0.2">
      <c r="B31" s="19" t="s">
        <v>80</v>
      </c>
      <c r="C31" s="101">
        <v>0.109709026</v>
      </c>
    </row>
    <row r="32" spans="1:8" ht="15.75" customHeight="1" x14ac:dyDescent="0.2">
      <c r="B32" s="19" t="s">
        <v>85</v>
      </c>
      <c r="C32" s="101">
        <v>1.8596574000000001E-2</v>
      </c>
    </row>
    <row r="33" spans="2:3" ht="15.75" customHeight="1" x14ac:dyDescent="0.2">
      <c r="B33" s="19" t="s">
        <v>100</v>
      </c>
      <c r="C33" s="101">
        <v>8.3747772999999998E-2</v>
      </c>
    </row>
    <row r="34" spans="2:3" ht="15.75" customHeight="1" x14ac:dyDescent="0.2">
      <c r="B34" s="19" t="s">
        <v>87</v>
      </c>
      <c r="C34" s="101">
        <v>0.26363388300000001</v>
      </c>
    </row>
    <row r="35" spans="2:3" ht="15.75" customHeight="1" x14ac:dyDescent="0.2">
      <c r="B35" s="27" t="s">
        <v>60</v>
      </c>
      <c r="C35" s="48">
        <f>SUM(C26:C34)</f>
        <v>1.0000000010000001</v>
      </c>
    </row>
  </sheetData>
  <sheetProtection algorithmName="SHA-512" hashValue="cj20rwLDnL4FBRhB5yo49JKe7JyKzMmVl7GRBGUYsmLgLii2YeyaUNEeUtJ3C9+pQNS+/A09YeVWu+De6geraw==" saltValue="enUUmG62tI8Fdq8DxtOGz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">
      <c r="A2" s="3" t="s">
        <v>121</v>
      </c>
      <c r="B2" s="5" t="s">
        <v>111</v>
      </c>
      <c r="C2" s="52">
        <f>IFERROR(1-_xlfn.NORM.DIST(_xlfn.NORM.INV(SUM(C4:C5), 0, 1) + 1, 0, 1, TRUE), "")</f>
        <v>0.42176259196145005</v>
      </c>
      <c r="D2" s="52">
        <f>IFERROR(1-_xlfn.NORM.DIST(_xlfn.NORM.INV(SUM(D4:D5), 0, 1) + 1, 0, 1, TRUE), "")</f>
        <v>0.42176259196145005</v>
      </c>
      <c r="E2" s="52">
        <f>IFERROR(1-_xlfn.NORM.DIST(_xlfn.NORM.INV(SUM(E4:E5), 0, 1) + 1, 0, 1, TRUE), "")</f>
        <v>0.47769671740403652</v>
      </c>
      <c r="F2" s="52">
        <f>IFERROR(1-_xlfn.NORM.DIST(_xlfn.NORM.INV(SUM(F4:F5), 0, 1) + 1, 0, 1, TRUE), "")</f>
        <v>0.3219406135117121</v>
      </c>
      <c r="G2" s="52">
        <f>IFERROR(1-_xlfn.NORM.DIST(_xlfn.NORM.INV(SUM(G4:G5), 0, 1) + 1, 0, 1, TRUE), "")</f>
        <v>0.28503442868467932</v>
      </c>
    </row>
    <row r="3" spans="1:15" ht="15.75" customHeight="1" x14ac:dyDescent="0.2">
      <c r="B3" s="5" t="s">
        <v>108</v>
      </c>
      <c r="C3" s="52">
        <f>IFERROR(_xlfn.NORM.DIST(_xlfn.NORM.INV(SUM(C4:C5), 0, 1) + 1, 0, 1, TRUE) - SUM(C4:C5), "")</f>
        <v>0.36713836003854994</v>
      </c>
      <c r="D3" s="52">
        <f>IFERROR(_xlfn.NORM.DIST(_xlfn.NORM.INV(SUM(D4:D5), 0, 1) + 1, 0, 1, TRUE) - SUM(D4:D5), "")</f>
        <v>0.36713836003854994</v>
      </c>
      <c r="E3" s="52">
        <f>IFERROR(_xlfn.NORM.DIST(_xlfn.NORM.INV(SUM(E4:E5), 0, 1) + 1, 0, 1, TRUE) - SUM(E4:E5), "")</f>
        <v>0.34973501659596351</v>
      </c>
      <c r="F3" s="52">
        <f>IFERROR(_xlfn.NORM.DIST(_xlfn.NORM.INV(SUM(F4:F5), 0, 1) + 1, 0, 1, TRUE) - SUM(F4:F5), "")</f>
        <v>0.38267453248828792</v>
      </c>
      <c r="G3" s="52">
        <f>IFERROR(_xlfn.NORM.DIST(_xlfn.NORM.INV(SUM(G4:G5), 0, 1) + 1, 0, 1, TRUE) - SUM(G4:G5), "")</f>
        <v>0.38211300131532067</v>
      </c>
    </row>
    <row r="4" spans="1:15" ht="15.75" customHeight="1" x14ac:dyDescent="0.2">
      <c r="B4" s="5" t="s">
        <v>110</v>
      </c>
      <c r="C4" s="45">
        <v>0.17876478000000001</v>
      </c>
      <c r="D4" s="53">
        <v>0.17876478000000001</v>
      </c>
      <c r="E4" s="53">
        <v>0.1215649</v>
      </c>
      <c r="F4" s="53">
        <v>0.21801988999999999</v>
      </c>
      <c r="G4" s="53">
        <v>0.21965978999999999</v>
      </c>
    </row>
    <row r="5" spans="1:15" ht="15.75" customHeight="1" x14ac:dyDescent="0.2">
      <c r="B5" s="5" t="s">
        <v>106</v>
      </c>
      <c r="C5" s="45">
        <v>3.2334267999999999E-2</v>
      </c>
      <c r="D5" s="53">
        <v>3.2334267999999999E-2</v>
      </c>
      <c r="E5" s="53">
        <v>5.1003366000000001E-2</v>
      </c>
      <c r="F5" s="53">
        <v>7.7364963999999994E-2</v>
      </c>
      <c r="G5" s="53">
        <v>0.11319278000000001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122</v>
      </c>
      <c r="B8" s="5" t="s">
        <v>112</v>
      </c>
      <c r="C8" s="52">
        <f>IFERROR(1-_xlfn.NORM.DIST(_xlfn.NORM.INV(SUM(C10:C11), 0, 1) + 1, 0, 1, TRUE), "")</f>
        <v>0.81251859065326515</v>
      </c>
      <c r="D8" s="52">
        <f>IFERROR(1-_xlfn.NORM.DIST(_xlfn.NORM.INV(SUM(D10:D11), 0, 1) + 1, 0, 1, TRUE), "")</f>
        <v>0.81251859065326515</v>
      </c>
      <c r="E8" s="52">
        <f>IFERROR(1-_xlfn.NORM.DIST(_xlfn.NORM.INV(SUM(E10:E11), 0, 1) + 1, 0, 1, TRUE), "")</f>
        <v>0.70024738265545183</v>
      </c>
      <c r="F8" s="52">
        <f>IFERROR(1-_xlfn.NORM.DIST(_xlfn.NORM.INV(SUM(F10:F11), 0, 1) + 1, 0, 1, TRUE), "")</f>
        <v>0.71514936229529336</v>
      </c>
      <c r="G8" s="52">
        <f>IFERROR(1-_xlfn.NORM.DIST(_xlfn.NORM.INV(SUM(G10:G11), 0, 1) + 1, 0, 1, TRUE), "")</f>
        <v>0.83777594603078298</v>
      </c>
    </row>
    <row r="9" spans="1:15" ht="15.75" customHeight="1" x14ac:dyDescent="0.2">
      <c r="B9" s="5" t="s">
        <v>109</v>
      </c>
      <c r="C9" s="52">
        <f>IFERROR(_xlfn.NORM.DIST(_xlfn.NORM.INV(SUM(C10:C11), 0, 1) + 1, 0, 1, TRUE) - SUM(C10:C11), "")</f>
        <v>0.15791574494673483</v>
      </c>
      <c r="D9" s="52">
        <f>IFERROR(_xlfn.NORM.DIST(_xlfn.NORM.INV(SUM(D10:D11), 0, 1) + 1, 0, 1, TRUE) - SUM(D10:D11), "")</f>
        <v>0.15791574494673483</v>
      </c>
      <c r="E9" s="52">
        <f>IFERROR(_xlfn.NORM.DIST(_xlfn.NORM.INV(SUM(E10:E11), 0, 1) + 1, 0, 1, TRUE) - SUM(E10:E11), "")</f>
        <v>0.23613705294454823</v>
      </c>
      <c r="F9" s="52">
        <f>IFERROR(_xlfn.NORM.DIST(_xlfn.NORM.INV(SUM(F10:F11), 0, 1) + 1, 0, 1, TRUE) - SUM(F10:F11), "")</f>
        <v>0.22646740170470664</v>
      </c>
      <c r="G9" s="52">
        <f>IFERROR(_xlfn.NORM.DIST(_xlfn.NORM.INV(SUM(G10:G11), 0, 1) + 1, 0, 1, TRUE) - SUM(G10:G11), "")</f>
        <v>0.13867174266921697</v>
      </c>
    </row>
    <row r="10" spans="1:15" ht="15.75" customHeight="1" x14ac:dyDescent="0.2">
      <c r="B10" s="5" t="s">
        <v>107</v>
      </c>
      <c r="C10" s="45">
        <v>2.4425578E-2</v>
      </c>
      <c r="D10" s="53">
        <v>2.4425578E-2</v>
      </c>
      <c r="E10" s="53">
        <v>5.5844764999999998E-2</v>
      </c>
      <c r="F10" s="53">
        <v>4.8067512999999999E-2</v>
      </c>
      <c r="G10" s="53">
        <v>2.1740372000000001E-2</v>
      </c>
    </row>
    <row r="11" spans="1:15" ht="15.75" customHeight="1" x14ac:dyDescent="0.2">
      <c r="B11" s="5" t="s">
        <v>119</v>
      </c>
      <c r="C11" s="45">
        <v>5.1400863999999996E-3</v>
      </c>
      <c r="D11" s="53">
        <v>5.1400863999999996E-3</v>
      </c>
      <c r="E11" s="53">
        <v>7.7707994000000002E-3</v>
      </c>
      <c r="F11" s="53">
        <v>1.0315723000000001E-2</v>
      </c>
      <c r="G11" s="53">
        <v>1.8119392999999999E-3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">
      <c r="B14" s="11" t="s">
        <v>117</v>
      </c>
      <c r="C14" s="51">
        <v>0.82655271499999994</v>
      </c>
      <c r="D14" s="54">
        <v>0.80329964035300006</v>
      </c>
      <c r="E14" s="54">
        <v>0.80329964035300006</v>
      </c>
      <c r="F14" s="54">
        <v>0.753420550957</v>
      </c>
      <c r="G14" s="54">
        <v>0.753420550957</v>
      </c>
      <c r="H14" s="45">
        <v>0.377</v>
      </c>
      <c r="I14" s="55">
        <v>0.377</v>
      </c>
      <c r="J14" s="55">
        <v>0.377</v>
      </c>
      <c r="K14" s="55">
        <v>0.377</v>
      </c>
      <c r="L14" s="45">
        <v>0.34399999999999997</v>
      </c>
      <c r="M14" s="55">
        <v>0.34399999999999997</v>
      </c>
      <c r="N14" s="55">
        <v>0.34399999999999997</v>
      </c>
      <c r="O14" s="55">
        <v>0.34399999999999997</v>
      </c>
    </row>
    <row r="15" spans="1:15" ht="15.75" customHeight="1" x14ac:dyDescent="0.2">
      <c r="B15" s="11" t="s">
        <v>118</v>
      </c>
      <c r="C15" s="52">
        <f t="shared" ref="C15:O15" si="0">iron_deficiency_anaemia*C14</f>
        <v>0.36477755039465998</v>
      </c>
      <c r="D15" s="52">
        <f t="shared" si="0"/>
        <v>0.35451541047914742</v>
      </c>
      <c r="E15" s="52">
        <f t="shared" si="0"/>
        <v>0.35451541047914742</v>
      </c>
      <c r="F15" s="52">
        <f t="shared" si="0"/>
        <v>0.33250257123054705</v>
      </c>
      <c r="G15" s="52">
        <f t="shared" si="0"/>
        <v>0.33250257123054705</v>
      </c>
      <c r="H15" s="52">
        <f t="shared" si="0"/>
        <v>0.166379148</v>
      </c>
      <c r="I15" s="52">
        <f t="shared" si="0"/>
        <v>0.166379148</v>
      </c>
      <c r="J15" s="52">
        <f t="shared" si="0"/>
        <v>0.166379148</v>
      </c>
      <c r="K15" s="52">
        <f t="shared" si="0"/>
        <v>0.166379148</v>
      </c>
      <c r="L15" s="52">
        <f t="shared" si="0"/>
        <v>0.15181545599999999</v>
      </c>
      <c r="M15" s="52">
        <f t="shared" si="0"/>
        <v>0.15181545599999999</v>
      </c>
      <c r="N15" s="52">
        <f t="shared" si="0"/>
        <v>0.15181545599999999</v>
      </c>
      <c r="O15" s="52">
        <f t="shared" si="0"/>
        <v>0.15181545599999999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9dTNYnmnwSJSF1bDs74erB8v18pJTMpeJoYsNbklF61lSO2PEl6RDnsVh8hKUQzRvataSdJwHNfoTtKTwK0yzw==" saltValue="fKs53AcwNuuq/JHUmNJx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">
      <c r="A2" s="3" t="s">
        <v>123</v>
      </c>
      <c r="B2" s="3" t="s">
        <v>124</v>
      </c>
      <c r="C2" s="45">
        <v>0.72640953060000002</v>
      </c>
      <c r="D2" s="53">
        <v>0.51254100999999996</v>
      </c>
      <c r="E2" s="53">
        <v>0</v>
      </c>
      <c r="F2" s="53">
        <v>0</v>
      </c>
      <c r="G2" s="53">
        <v>0</v>
      </c>
    </row>
    <row r="3" spans="1:7" x14ac:dyDescent="0.2">
      <c r="B3" s="3" t="s">
        <v>127</v>
      </c>
      <c r="C3" s="53">
        <v>0.19447386</v>
      </c>
      <c r="D3" s="53">
        <v>0.24950232</v>
      </c>
      <c r="E3" s="53">
        <v>0</v>
      </c>
      <c r="F3" s="53">
        <v>0</v>
      </c>
      <c r="G3" s="53">
        <v>0</v>
      </c>
    </row>
    <row r="4" spans="1:7" x14ac:dyDescent="0.2">
      <c r="B4" s="3" t="s">
        <v>126</v>
      </c>
      <c r="C4" s="53">
        <v>5.7415872E-2</v>
      </c>
      <c r="D4" s="53">
        <v>0.17059015</v>
      </c>
      <c r="E4" s="53">
        <v>0.96707671880722001</v>
      </c>
      <c r="F4" s="53">
        <v>0.69461715221404996</v>
      </c>
      <c r="G4" s="53">
        <v>0</v>
      </c>
    </row>
    <row r="5" spans="1:7" x14ac:dyDescent="0.2">
      <c r="B5" s="3" t="s">
        <v>125</v>
      </c>
      <c r="C5" s="52">
        <v>2.1700742240000001E-2</v>
      </c>
      <c r="D5" s="52">
        <v>6.7366519E-2</v>
      </c>
      <c r="E5" s="52">
        <f>1-SUM(E2:E4)</f>
        <v>3.2923281192779985E-2</v>
      </c>
      <c r="F5" s="52">
        <f>1-SUM(F2:F4)</f>
        <v>0.30538284778595004</v>
      </c>
      <c r="G5" s="52">
        <f>1-SUM(G2:G4)</f>
        <v>1</v>
      </c>
    </row>
  </sheetData>
  <sheetProtection algorithmName="SHA-512" hashValue="wtAUGUl8FAh7tHI1FYUwwX8v34+WtFW516OnA/SwA73qnVPMQ/V/VgvC1VaoqcpZWlR036DePzSnLVMqW/KU/w==" saltValue="6b94Fh8MZkMoD/m0HpXH0A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aS+SMFFg8ePzKDxO1UPEr0b4zjFrjEEfQST4C9sEwIT02ftviEl5t07p9bzAMJZhkWZ2AjZUgGFp7qXMLe+ang==" saltValue="75qqNRqlZ71CFXXdlUWj/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147</v>
      </c>
      <c r="B1" s="4" t="s">
        <v>145</v>
      </c>
    </row>
    <row r="2" spans="1:2" x14ac:dyDescent="0.2">
      <c r="A2" s="8" t="s">
        <v>144</v>
      </c>
      <c r="B2" s="41">
        <v>10</v>
      </c>
    </row>
    <row r="3" spans="1:2" x14ac:dyDescent="0.2">
      <c r="A3" s="8" t="s">
        <v>143</v>
      </c>
      <c r="B3" s="41">
        <v>10</v>
      </c>
    </row>
    <row r="4" spans="1:2" x14ac:dyDescent="0.2">
      <c r="A4" s="8" t="s">
        <v>142</v>
      </c>
      <c r="B4" s="41">
        <v>10</v>
      </c>
    </row>
    <row r="5" spans="1:2" x14ac:dyDescent="0.2">
      <c r="A5" s="8" t="s">
        <v>146</v>
      </c>
      <c r="B5" s="41">
        <v>10</v>
      </c>
    </row>
    <row r="6" spans="1:2" x14ac:dyDescent="0.2">
      <c r="A6" s="8" t="s">
        <v>140</v>
      </c>
      <c r="B6" s="41">
        <v>10</v>
      </c>
    </row>
    <row r="7" spans="1:2" x14ac:dyDescent="0.2">
      <c r="A7" s="8" t="s">
        <v>141</v>
      </c>
      <c r="B7" s="41">
        <v>10</v>
      </c>
    </row>
  </sheetData>
  <sheetProtection algorithmName="SHA-512" hashValue="w4nKiH45Jqx4upew9viYdSVRPa3g7Nfaa54MauJpjXPu8R5TXcsshCjvexYCfBBtGjtHsjQho6aETXphrqKBLA==" saltValue="hZQwSGF3nZe4E6FIfM8v+Q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x14ac:dyDescent="0.2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77</v>
      </c>
      <c r="C5" s="47"/>
      <c r="D5" s="47"/>
      <c r="E5" s="38" t="str">
        <f>IF(E$7="","",E$7)</f>
        <v/>
      </c>
    </row>
    <row r="6" spans="1:5" x14ac:dyDescent="0.2">
      <c r="B6" s="32" t="s">
        <v>75</v>
      </c>
      <c r="C6" s="47"/>
      <c r="D6" s="47"/>
      <c r="E6" s="38" t="str">
        <f>IF(E$7="","",E$7)</f>
        <v/>
      </c>
    </row>
    <row r="7" spans="1:5" x14ac:dyDescent="0.2">
      <c r="B7" s="32" t="s">
        <v>148</v>
      </c>
      <c r="C7" s="31"/>
      <c r="D7" s="30"/>
      <c r="E7" s="47"/>
    </row>
    <row r="9" spans="1:5" x14ac:dyDescent="0.2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">
      <c r="B10" s="32" t="s">
        <v>78</v>
      </c>
      <c r="C10" s="47"/>
      <c r="D10" s="47"/>
      <c r="E10" s="38" t="str">
        <f>IF(E$7="","",E$7)</f>
        <v/>
      </c>
    </row>
    <row r="11" spans="1:5" x14ac:dyDescent="0.2">
      <c r="B11" s="32" t="s">
        <v>74</v>
      </c>
      <c r="C11" s="47"/>
      <c r="D11" s="47"/>
      <c r="E11" s="38" t="str">
        <f>IF(E$7="","",E$7)</f>
        <v/>
      </c>
    </row>
    <row r="12" spans="1:5" x14ac:dyDescent="0.2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148</v>
      </c>
      <c r="C14" s="31"/>
      <c r="D14" s="30"/>
      <c r="E14" s="47"/>
    </row>
    <row r="16" spans="1:5" x14ac:dyDescent="0.2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148</v>
      </c>
      <c r="C21" s="31"/>
      <c r="D21" s="30"/>
      <c r="E21" s="47"/>
    </row>
  </sheetData>
  <sheetProtection algorithmName="SHA-512" hashValue="62NU7V2AV6y+uNt+NAOgjoat+3hTzPN0Zm23Shmbmwi5i+PA8fgUMOKdSflNrv5H3I3oHTV36ynW/Iy8Hs70+w==" saltValue="Llw4EQQv5I49yPgsU3ttF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159</v>
      </c>
      <c r="C1" s="40" t="s">
        <v>161</v>
      </c>
      <c r="D1" s="40" t="s">
        <v>157</v>
      </c>
    </row>
    <row r="2" spans="1:4" x14ac:dyDescent="0.2">
      <c r="A2" s="40" t="s">
        <v>163</v>
      </c>
      <c r="B2" s="32" t="s">
        <v>164</v>
      </c>
      <c r="C2" s="32" t="s">
        <v>162</v>
      </c>
      <c r="D2" s="47"/>
    </row>
    <row r="3" spans="1:4" x14ac:dyDescent="0.2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aDZjSCDib3WHH9piNyBdY3YH6tfhOCgEW9r8olLkVjqWOoZYyf0fs1e7w/fBH66SFAv4N5VZuC365o6rAUjpow==" saltValue="lyXozQwJIqrhUK3i10B5Q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lang=es</cp:keywords>
  <cp:lastModifiedBy>Romesh Abeysuriya</cp:lastModifiedBy>
  <dcterms:created xsi:type="dcterms:W3CDTF">2017-08-01T10:42:13Z</dcterms:created>
  <dcterms:modified xsi:type="dcterms:W3CDTF">2023-01-27T02:36:00Z</dcterms:modified>
</cp:coreProperties>
</file>