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835D79C5-4C4F-4CA7-A862-C3EA753D716A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A40" i="2"/>
  <c r="H39" i="2"/>
  <c r="G39" i="2"/>
  <c r="H38" i="2"/>
  <c r="G38" i="2"/>
  <c r="A22" i="2"/>
  <c r="A18" i="2"/>
  <c r="A16" i="2"/>
  <c r="A15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G7" i="2"/>
  <c r="I7" i="2" s="1"/>
  <c r="H6" i="2"/>
  <c r="I6" i="2" s="1"/>
  <c r="G6" i="2"/>
  <c r="H5" i="2"/>
  <c r="G5" i="2"/>
  <c r="I5" i="2" s="1"/>
  <c r="I4" i="2"/>
  <c r="H4" i="2"/>
  <c r="G4" i="2"/>
  <c r="H3" i="2"/>
  <c r="G3" i="2"/>
  <c r="I3" i="2" s="1"/>
  <c r="H2" i="2"/>
  <c r="I2" i="2" s="1"/>
  <c r="G2" i="2"/>
  <c r="A2" i="2"/>
  <c r="A37" i="2" s="1"/>
  <c r="C33" i="1"/>
  <c r="C20" i="1"/>
  <c r="A24" i="2" l="1"/>
  <c r="A3" i="2"/>
  <c r="A34" i="2"/>
  <c r="A32" i="2"/>
  <c r="A23" i="2"/>
  <c r="A26" i="2"/>
  <c r="A38" i="2"/>
  <c r="I38" i="2"/>
  <c r="A39" i="2"/>
  <c r="A30" i="2"/>
  <c r="A31" i="2"/>
  <c r="A14" i="2"/>
  <c r="I39" i="2"/>
  <c r="A17" i="2"/>
  <c r="A25" i="2"/>
  <c r="A33" i="2"/>
  <c r="A19" i="2"/>
  <c r="A27" i="2"/>
  <c r="A35" i="2"/>
  <c r="A4" i="2"/>
  <c r="A5" i="2" s="1"/>
  <c r="A6" i="2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<sst xmlns="http://schemas.openxmlformats.org/spreadsheetml/2006/main" count="2092" uniqueCount="341">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</sst>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34872855.5</v>
      </c>
    </row>
    <row r="8" spans="1:3" ht="15" customHeight="1" x14ac:dyDescent="0.2">
      <c r="B8" s="5" t="s">
        <v>44</v>
      </c>
      <c r="C8" s="44">
        <v>0.53500000000000003</v>
      </c>
    </row>
    <row r="9" spans="1:3" ht="15" customHeight="1" x14ac:dyDescent="0.2">
      <c r="B9" s="5" t="s">
        <v>43</v>
      </c>
      <c r="C9" s="45">
        <v>0.99</v>
      </c>
    </row>
    <row r="10" spans="1:3" ht="15" customHeight="1" x14ac:dyDescent="0.2">
      <c r="B10" s="5" t="s">
        <v>56</v>
      </c>
      <c r="C10" s="45">
        <v>0.90525772094726609</v>
      </c>
    </row>
    <row r="11" spans="1:3" ht="15" customHeight="1" x14ac:dyDescent="0.2">
      <c r="B11" s="5" t="s">
        <v>49</v>
      </c>
      <c r="C11" s="45">
        <v>0.93500000000000005</v>
      </c>
    </row>
    <row r="12" spans="1:3" ht="15" customHeight="1" x14ac:dyDescent="0.2">
      <c r="B12" s="5" t="s">
        <v>41</v>
      </c>
      <c r="C12" s="45">
        <v>0.79799999999999993</v>
      </c>
    </row>
    <row r="13" spans="1:3" ht="15" customHeight="1" x14ac:dyDescent="0.2">
      <c r="B13" s="5" t="s">
        <v>62</v>
      </c>
      <c r="C13" s="45">
        <v>0.249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4.0000000000000002E-4</v>
      </c>
    </row>
    <row r="24" spans="1:3" ht="15" customHeight="1" x14ac:dyDescent="0.2">
      <c r="B24" s="15" t="s">
        <v>46</v>
      </c>
      <c r="C24" s="45">
        <v>0.62990000000000002</v>
      </c>
    </row>
    <row r="25" spans="1:3" ht="15" customHeight="1" x14ac:dyDescent="0.2">
      <c r="B25" s="15" t="s">
        <v>47</v>
      </c>
      <c r="C25" s="45">
        <v>0.36969999999999997</v>
      </c>
    </row>
    <row r="26" spans="1:3" ht="15" customHeight="1" x14ac:dyDescent="0.2">
      <c r="B26" s="15" t="s">
        <v>48</v>
      </c>
      <c r="C26" s="45">
        <v>0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0.19748062010197501</v>
      </c>
    </row>
    <row r="30" spans="1:3" ht="14.25" customHeight="1" x14ac:dyDescent="0.2">
      <c r="B30" s="25" t="s">
        <v>63</v>
      </c>
      <c r="C30" s="99">
        <v>5.5679474090556798E-2</v>
      </c>
    </row>
    <row r="31" spans="1:3" ht="14.25" customHeight="1" x14ac:dyDescent="0.2">
      <c r="B31" s="25" t="s">
        <v>10</v>
      </c>
      <c r="C31" s="99">
        <v>0.13078694450130801</v>
      </c>
    </row>
    <row r="32" spans="1:3" ht="14.25" customHeight="1" x14ac:dyDescent="0.2">
      <c r="B32" s="25" t="s">
        <v>11</v>
      </c>
      <c r="C32" s="99">
        <v>0.61605296130616094</v>
      </c>
    </row>
    <row r="33" spans="1:5" ht="13.15" customHeight="1" x14ac:dyDescent="0.2">
      <c r="B33" s="27" t="s">
        <v>60</v>
      </c>
      <c r="C33" s="48">
        <f>SUM(C29:C32)</f>
        <v>1.0000000000000009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35.850665255437903</v>
      </c>
    </row>
    <row r="38" spans="1:5" ht="15" customHeight="1" x14ac:dyDescent="0.2">
      <c r="B38" s="11" t="s">
        <v>35</v>
      </c>
      <c r="C38" s="43">
        <v>74.160316590376794</v>
      </c>
      <c r="D38" s="12"/>
      <c r="E38" s="13"/>
    </row>
    <row r="39" spans="1:5" ht="15" customHeight="1" x14ac:dyDescent="0.2">
      <c r="B39" s="11" t="s">
        <v>61</v>
      </c>
      <c r="C39" s="43">
        <v>117.20207806947199</v>
      </c>
      <c r="D39" s="12"/>
      <c r="E39" s="12"/>
    </row>
    <row r="40" spans="1:5" ht="15" customHeight="1" x14ac:dyDescent="0.2">
      <c r="B40" s="11" t="s">
        <v>36</v>
      </c>
      <c r="C40" s="100">
        <v>9.17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22.246120860000001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3.4058000000000001E-3</v>
      </c>
      <c r="D45" s="12"/>
    </row>
    <row r="46" spans="1:5" ht="15.75" customHeight="1" x14ac:dyDescent="0.2">
      <c r="B46" s="11" t="s">
        <v>51</v>
      </c>
      <c r="C46" s="45">
        <v>0.10184840000000001</v>
      </c>
      <c r="D46" s="12"/>
    </row>
    <row r="47" spans="1:5" ht="15.75" customHeight="1" x14ac:dyDescent="0.2">
      <c r="B47" s="11" t="s">
        <v>59</v>
      </c>
      <c r="C47" s="45">
        <v>0.13982320000000001</v>
      </c>
      <c r="D47" s="12"/>
      <c r="E47" s="13"/>
    </row>
    <row r="48" spans="1:5" ht="15" customHeight="1" x14ac:dyDescent="0.2">
      <c r="B48" s="11" t="s">
        <v>58</v>
      </c>
      <c r="C48" s="46">
        <v>0.7549226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3.3</v>
      </c>
      <c r="D51" s="12"/>
    </row>
    <row r="52" spans="1:4" ht="15" customHeight="1" x14ac:dyDescent="0.2">
      <c r="B52" s="11" t="s">
        <v>13</v>
      </c>
      <c r="C52" s="100">
        <v>3.3</v>
      </c>
    </row>
    <row r="53" spans="1:4" ht="15.75" customHeight="1" x14ac:dyDescent="0.2">
      <c r="B53" s="11" t="s">
        <v>16</v>
      </c>
      <c r="C53" s="100">
        <v>3.3</v>
      </c>
    </row>
    <row r="54" spans="1:4" ht="15.75" customHeight="1" x14ac:dyDescent="0.2">
      <c r="B54" s="11" t="s">
        <v>14</v>
      </c>
      <c r="C54" s="100">
        <v>3.3</v>
      </c>
    </row>
    <row r="55" spans="1:4" ht="15.75" customHeight="1" x14ac:dyDescent="0.2">
      <c r="B55" s="11" t="s">
        <v>15</v>
      </c>
      <c r="C55" s="100">
        <v>3.3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2.181818181818182E-2</v>
      </c>
    </row>
    <row r="59" spans="1:4" ht="15.75" customHeight="1" x14ac:dyDescent="0.2">
      <c r="B59" s="11" t="s">
        <v>40</v>
      </c>
      <c r="C59" s="45">
        <v>0.419354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4QgNJu4A7WRspt14P1ayauPjv6kHwZv+d2y1T9Ga0k3b2+dqCIVkxlDUjc6zCs4Jy/55fgujvUad+FO+L7Ry5Q==" saltValue="1VlIaKilleNPIK2MOmOk6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0.241505464317986</v>
      </c>
      <c r="C2" s="98">
        <v>0.95</v>
      </c>
      <c r="D2" s="56">
        <v>39.888859002919943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54.752071881275683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130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3.5873272177965978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</v>
      </c>
      <c r="C10" s="98">
        <v>0.95</v>
      </c>
      <c r="D10" s="56">
        <v>17.43582110877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</v>
      </c>
      <c r="C11" s="98">
        <v>0.95</v>
      </c>
      <c r="D11" s="56">
        <v>17.43582110877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</v>
      </c>
      <c r="C12" s="98">
        <v>0.95</v>
      </c>
      <c r="D12" s="56">
        <v>17.43582110877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</v>
      </c>
      <c r="C13" s="98">
        <v>0.95</v>
      </c>
      <c r="D13" s="56">
        <v>17.43582110877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</v>
      </c>
      <c r="C14" s="98">
        <v>0.95</v>
      </c>
      <c r="D14" s="56">
        <v>17.43582110877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</v>
      </c>
      <c r="C15" s="98">
        <v>0.95</v>
      </c>
      <c r="D15" s="56">
        <v>17.43582110877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0.314836667943726</v>
      </c>
      <c r="C16" s="98">
        <v>0.95</v>
      </c>
      <c r="D16" s="56">
        <v>0.36188471973576708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0.6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3.082565241453175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3.082565241453175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0.5492108</v>
      </c>
      <c r="C21" s="98">
        <v>0.95</v>
      </c>
      <c r="D21" s="56">
        <v>33.744034081912098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29.75485142592801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8.0000000000000002E-3</v>
      </c>
      <c r="C23" s="98">
        <v>0.95</v>
      </c>
      <c r="D23" s="56">
        <v>5.7056441979252872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0.292549254610112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0.26208812537286402</v>
      </c>
      <c r="C27" s="98">
        <v>0.95</v>
      </c>
      <c r="D27" s="56">
        <v>25.164486250613059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0.4003968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</v>
      </c>
      <c r="C29" s="98">
        <v>0.95</v>
      </c>
      <c r="D29" s="56">
        <v>72.244943512455777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5.8200000000000002E-2</v>
      </c>
      <c r="C31" s="98">
        <v>0.95</v>
      </c>
      <c r="D31" s="56">
        <v>0.35349840139862337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0.26556879999999999</v>
      </c>
      <c r="C32" s="98">
        <v>0.95</v>
      </c>
      <c r="D32" s="56">
        <v>0.71154246388970954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0.39171754097459299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0.8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0.31121219999999999</v>
      </c>
      <c r="C38" s="98">
        <v>0.95</v>
      </c>
      <c r="D38" s="56">
        <v>8.1649856306609028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0.22646959999999999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Ha6uv4Vt3EHB8/XS2GHavDfnEbsTH9aFa0hKNZB0M21gDKI33lqmdvkQJv64xBM0mzA9wE2I0Wlbr9ElvmRPRQ==" saltValue="MPmquCA9eB0Yq1IKg883c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6r7nGteRqtzXw8GPPv5Ypj/2I530FjaVP/hVtfzfm6Kz08NVUbsb6yGkt5gX9KpE0yJZ/m62OIwq7WVNZqCkww==" saltValue="HcjoIF+AxaLnf+o7iEwp0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b1tddXQmT2hHyofDRU4+JRVGTCH2IrLr0xzAQmb9RwE64tPEplViQt/NjCvnP++Cpe+sbhDdtb37z8U74Oai6A==" saltValue="+sWEpp+Lg0bPELdgq5IVN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">
      <c r="A3" s="3" t="s">
        <v>6</v>
      </c>
      <c r="B3" s="21">
        <f>frac_mam_1month * 2.6</f>
        <v>0.1215550128</v>
      </c>
      <c r="C3" s="21">
        <f>frac_mam_1_5months * 2.6</f>
        <v>0.1215550128</v>
      </c>
      <c r="D3" s="21">
        <f>frac_mam_6_11months * 2.6</f>
        <v>0.26836199000000005</v>
      </c>
      <c r="E3" s="21">
        <f>frac_mam_12_23months * 2.6</f>
        <v>0.20220584280000001</v>
      </c>
      <c r="F3" s="21">
        <f>frac_mam_24_59months * 2.6</f>
        <v>8.2234258599999999E-2</v>
      </c>
    </row>
    <row r="4" spans="1:6" ht="15.75" customHeight="1" x14ac:dyDescent="0.2">
      <c r="A4" s="3" t="s">
        <v>207</v>
      </c>
      <c r="B4" s="21">
        <f>frac_sam_1month * 2.6</f>
        <v>6.1459390200000005E-2</v>
      </c>
      <c r="C4" s="21">
        <f>frac_sam_1_5months * 2.6</f>
        <v>6.1459390200000005E-2</v>
      </c>
      <c r="D4" s="21">
        <f>frac_sam_6_11months * 2.6</f>
        <v>8.6299262400000007E-2</v>
      </c>
      <c r="E4" s="21">
        <f>frac_sam_12_23months * 2.6</f>
        <v>8.6436110800000007E-2</v>
      </c>
      <c r="F4" s="21">
        <f>frac_sam_24_59months * 2.6</f>
        <v>2.3025978820000001E-2</v>
      </c>
    </row>
  </sheetData>
  <sheetProtection algorithmName="SHA-512" hashValue="2AHLG4yb5dnctt8TrW99EbDy/wSUeNmH4ol54lEOH3HF4yWpE5CiB1lB9TWYL+/Ee14S1yKHRvNrswaMY0uWCQ==" saltValue="6bPMK1NcwRWKbzNFwVqNh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0.53500000000000003</v>
      </c>
      <c r="E2" s="60">
        <f>food_insecure</f>
        <v>0.53500000000000003</v>
      </c>
      <c r="F2" s="60">
        <f>food_insecure</f>
        <v>0.53500000000000003</v>
      </c>
      <c r="G2" s="60">
        <f>food_insecure</f>
        <v>0.53500000000000003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0.53500000000000003</v>
      </c>
      <c r="F5" s="60">
        <f>food_insecure</f>
        <v>0.53500000000000003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0.53500000000000003</v>
      </c>
      <c r="F8" s="60">
        <f>food_insecure</f>
        <v>0.53500000000000003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0.53500000000000003</v>
      </c>
      <c r="F9" s="60">
        <f>food_insecure</f>
        <v>0.53500000000000003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0.79799999999999993</v>
      </c>
      <c r="E10" s="60">
        <f>IF(ISBLANK(comm_deliv), frac_children_health_facility,1)</f>
        <v>0.79799999999999993</v>
      </c>
      <c r="F10" s="60">
        <f>IF(ISBLANK(comm_deliv), frac_children_health_facility,1)</f>
        <v>0.79799999999999993</v>
      </c>
      <c r="G10" s="60">
        <f>IF(ISBLANK(comm_deliv), frac_children_health_facility,1)</f>
        <v>0.79799999999999993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0.53500000000000003</v>
      </c>
      <c r="I15" s="60">
        <f>food_insecure</f>
        <v>0.53500000000000003</v>
      </c>
      <c r="J15" s="60">
        <f>food_insecure</f>
        <v>0.53500000000000003</v>
      </c>
      <c r="K15" s="60">
        <f>food_insecure</f>
        <v>0.53500000000000003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0.93500000000000005</v>
      </c>
      <c r="I18" s="60">
        <f>frac_PW_health_facility</f>
        <v>0.93500000000000005</v>
      </c>
      <c r="J18" s="60">
        <f>frac_PW_health_facility</f>
        <v>0.93500000000000005</v>
      </c>
      <c r="K18" s="60">
        <f>frac_PW_health_facility</f>
        <v>0.93500000000000005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0.99</v>
      </c>
      <c r="I19" s="60">
        <f>frac_malaria_risk</f>
        <v>0.99</v>
      </c>
      <c r="J19" s="60">
        <f>frac_malaria_risk</f>
        <v>0.99</v>
      </c>
      <c r="K19" s="60">
        <f>frac_malaria_risk</f>
        <v>0.99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0.249</v>
      </c>
      <c r="M24" s="60">
        <f>famplan_unmet_need</f>
        <v>0.249</v>
      </c>
      <c r="N24" s="60">
        <f>famplan_unmet_need</f>
        <v>0.249</v>
      </c>
      <c r="O24" s="60">
        <f>famplan_unmet_need</f>
        <v>0.249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5.7068011787414274E-2</v>
      </c>
      <c r="M25" s="60">
        <f>(1-food_insecure)*(0.49)+food_insecure*(0.7)</f>
        <v>0.60234999999999994</v>
      </c>
      <c r="N25" s="60">
        <f>(1-food_insecure)*(0.49)+food_insecure*(0.7)</f>
        <v>0.60234999999999994</v>
      </c>
      <c r="O25" s="60">
        <f>(1-food_insecure)*(0.49)+food_insecure*(0.7)</f>
        <v>0.60234999999999994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2.4457719337463261E-2</v>
      </c>
      <c r="M26" s="60">
        <f>(1-food_insecure)*(0.21)+food_insecure*(0.3)</f>
        <v>0.25814999999999999</v>
      </c>
      <c r="N26" s="60">
        <f>(1-food_insecure)*(0.21)+food_insecure*(0.3)</f>
        <v>0.25814999999999999</v>
      </c>
      <c r="O26" s="60">
        <f>(1-food_insecure)*(0.21)+food_insecure*(0.3)</f>
        <v>0.25814999999999999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1.3216547927856379E-2</v>
      </c>
      <c r="M27" s="60">
        <f>(1-food_insecure)*(0.3)</f>
        <v>0.13949999999999999</v>
      </c>
      <c r="N27" s="60">
        <f>(1-food_insecure)*(0.3)</f>
        <v>0.13949999999999999</v>
      </c>
      <c r="O27" s="60">
        <f>(1-food_insecure)*(0.3)</f>
        <v>0.13949999999999999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0.90525772094726609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0.99</v>
      </c>
      <c r="D34" s="60">
        <f t="shared" si="3"/>
        <v>0.99</v>
      </c>
      <c r="E34" s="60">
        <f t="shared" si="3"/>
        <v>0.99</v>
      </c>
      <c r="F34" s="60">
        <f t="shared" si="3"/>
        <v>0.99</v>
      </c>
      <c r="G34" s="60">
        <f t="shared" si="3"/>
        <v>0.99</v>
      </c>
      <c r="H34" s="60">
        <f t="shared" si="3"/>
        <v>0.99</v>
      </c>
      <c r="I34" s="60">
        <f t="shared" si="3"/>
        <v>0.99</v>
      </c>
      <c r="J34" s="60">
        <f t="shared" si="3"/>
        <v>0.99</v>
      </c>
      <c r="K34" s="60">
        <f t="shared" si="3"/>
        <v>0.99</v>
      </c>
      <c r="L34" s="60">
        <f t="shared" si="3"/>
        <v>0.99</v>
      </c>
      <c r="M34" s="60">
        <f t="shared" si="3"/>
        <v>0.99</v>
      </c>
      <c r="N34" s="60">
        <f t="shared" si="3"/>
        <v>0.99</v>
      </c>
      <c r="O34" s="60">
        <f t="shared" si="3"/>
        <v>0.99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HaUgzKr8BgwG7ToAfLy0kr/u7PTSwUnqadz5vXJp0tLjVrjKgHup0phgXwCn0fgbs6lJBIJ78GbQA3RppsrRbw==" saltValue="YinyN3yo7gr5FkARMMFzo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yHT+4HVP50Mjcu8CAsBjPMHRXzKJAGn2MfX80xQOTjV8SEJt0/LyTTwBO0srb4lzbbWueo6CEN96yMP/afgaTA==" saltValue="QJgHlBsqB6lA1dQLutBSU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/C+YOJHPbWKktPTNkMOQk/S/765fROKuAA+dvZzOek5gjeCLLSWjwkvkI/uDXNuCPzkSeghf8dutAyVJZCXJag==" saltValue="3+6LOvKoNJsp9+SQCcO/L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axbzGI2S+E3jKxPXyHwI29WTikHC6OZ0PcWyzexuBUMwoZR0FkFMGjb13wVyZfcNy7yOUs6OOr8+J8qABBZgXw==" saltValue="cuvqDXd0W1o3Ee+q8Gc8z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b+IdKJKoc2twcwjcYyc5Q2xA/oFkE72LskMWxEifIf8BBO/OXONPQop5h/WkT2krBj7xzdYXGP2xLXT7O/1u6Q==" saltValue="LID9dtHo1yzFDBVMkszFv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9w497nJXJ6e4gXlBIIB/sC4VEsvgF3bgOuaMhMsdMIkw/0Fdty1/cPa4L4w/auZZ3wbGLSbwaD9CJst9Eavc7Q==" saltValue="2JkudhkcrPVJfSciY6pig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352009.74440000003</v>
      </c>
      <c r="C2" s="49">
        <v>906000</v>
      </c>
      <c r="D2" s="49">
        <v>1918000</v>
      </c>
      <c r="E2" s="49">
        <v>1823000</v>
      </c>
      <c r="F2" s="49">
        <v>1784000</v>
      </c>
      <c r="G2" s="17">
        <f t="shared" ref="G2:G11" si="0">C2+D2+E2+F2</f>
        <v>6431000</v>
      </c>
      <c r="H2" s="17">
        <f t="shared" ref="H2:H11" si="1">(B2 + stillbirth*B2/(1000-stillbirth))/(1-abortion)</f>
        <v>409112.23337068706</v>
      </c>
      <c r="I2" s="17">
        <f t="shared" ref="I2:I11" si="2">G2-H2</f>
        <v>6021887.7666293131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350982.57860000001</v>
      </c>
      <c r="C3" s="50">
        <v>889000</v>
      </c>
      <c r="D3" s="50">
        <v>1907000</v>
      </c>
      <c r="E3" s="50">
        <v>1841000</v>
      </c>
      <c r="F3" s="50">
        <v>1728000</v>
      </c>
      <c r="G3" s="17">
        <f t="shared" si="0"/>
        <v>6365000</v>
      </c>
      <c r="H3" s="17">
        <f t="shared" si="1"/>
        <v>407918.44228630594</v>
      </c>
      <c r="I3" s="17">
        <f t="shared" si="2"/>
        <v>5957081.5577136939</v>
      </c>
    </row>
    <row r="4" spans="1:9" ht="15.75" customHeight="1" x14ac:dyDescent="0.2">
      <c r="A4" s="5">
        <f t="shared" si="3"/>
        <v>2023</v>
      </c>
      <c r="B4" s="49">
        <v>349881.85680000001</v>
      </c>
      <c r="C4" s="50">
        <v>871000</v>
      </c>
      <c r="D4" s="50">
        <v>1894000</v>
      </c>
      <c r="E4" s="50">
        <v>1854000</v>
      </c>
      <c r="F4" s="50">
        <v>1684000</v>
      </c>
      <c r="G4" s="17">
        <f t="shared" si="0"/>
        <v>6303000</v>
      </c>
      <c r="H4" s="17">
        <f t="shared" si="1"/>
        <v>406639.16305872268</v>
      </c>
      <c r="I4" s="17">
        <f t="shared" si="2"/>
        <v>5896360.8369412776</v>
      </c>
    </row>
    <row r="5" spans="1:9" ht="15.75" customHeight="1" x14ac:dyDescent="0.2">
      <c r="A5" s="5">
        <f t="shared" si="3"/>
        <v>2024</v>
      </c>
      <c r="B5" s="49">
        <v>348708.71419999999</v>
      </c>
      <c r="C5" s="50">
        <v>855000</v>
      </c>
      <c r="D5" s="50">
        <v>1877000</v>
      </c>
      <c r="E5" s="50">
        <v>1864000</v>
      </c>
      <c r="F5" s="50">
        <v>1656000</v>
      </c>
      <c r="G5" s="17">
        <f t="shared" si="0"/>
        <v>6252000</v>
      </c>
      <c r="H5" s="17">
        <f t="shared" si="1"/>
        <v>405275.71503836644</v>
      </c>
      <c r="I5" s="17">
        <f t="shared" si="2"/>
        <v>5846724.2849616334</v>
      </c>
    </row>
    <row r="6" spans="1:9" ht="15.75" customHeight="1" x14ac:dyDescent="0.2">
      <c r="A6" s="5">
        <f t="shared" si="3"/>
        <v>2025</v>
      </c>
      <c r="B6" s="49">
        <v>347464.28600000002</v>
      </c>
      <c r="C6" s="50">
        <v>842000</v>
      </c>
      <c r="D6" s="50">
        <v>1858000</v>
      </c>
      <c r="E6" s="50">
        <v>1876000</v>
      </c>
      <c r="F6" s="50">
        <v>1642000</v>
      </c>
      <c r="G6" s="17">
        <f t="shared" si="0"/>
        <v>6218000</v>
      </c>
      <c r="H6" s="17">
        <f t="shared" si="1"/>
        <v>403829.41757566627</v>
      </c>
      <c r="I6" s="17">
        <f t="shared" si="2"/>
        <v>5814170.5824243333</v>
      </c>
    </row>
    <row r="7" spans="1:9" ht="15.75" customHeight="1" x14ac:dyDescent="0.2">
      <c r="A7" s="5">
        <f t="shared" si="3"/>
        <v>2026</v>
      </c>
      <c r="B7" s="49">
        <v>344560.79200000002</v>
      </c>
      <c r="C7" s="50">
        <v>834000</v>
      </c>
      <c r="D7" s="50">
        <v>1838000</v>
      </c>
      <c r="E7" s="50">
        <v>1885000</v>
      </c>
      <c r="F7" s="50">
        <v>1647000</v>
      </c>
      <c r="G7" s="17">
        <f t="shared" si="0"/>
        <v>6204000</v>
      </c>
      <c r="H7" s="17">
        <f t="shared" si="1"/>
        <v>400454.92316516896</v>
      </c>
      <c r="I7" s="17">
        <f t="shared" si="2"/>
        <v>5803545.0768348314</v>
      </c>
    </row>
    <row r="8" spans="1:9" ht="15.75" customHeight="1" x14ac:dyDescent="0.2">
      <c r="A8" s="5">
        <f t="shared" si="3"/>
        <v>2027</v>
      </c>
      <c r="B8" s="49">
        <v>341578.34</v>
      </c>
      <c r="C8" s="50">
        <v>829000</v>
      </c>
      <c r="D8" s="50">
        <v>1816000</v>
      </c>
      <c r="E8" s="50">
        <v>1893000</v>
      </c>
      <c r="F8" s="50">
        <v>1670000</v>
      </c>
      <c r="G8" s="17">
        <f t="shared" si="0"/>
        <v>6208000</v>
      </c>
      <c r="H8" s="17">
        <f t="shared" si="1"/>
        <v>396988.66230719007</v>
      </c>
      <c r="I8" s="17">
        <f t="shared" si="2"/>
        <v>5811011.3376928102</v>
      </c>
    </row>
    <row r="9" spans="1:9" ht="15.75" customHeight="1" x14ac:dyDescent="0.2">
      <c r="A9" s="5">
        <f t="shared" si="3"/>
        <v>2028</v>
      </c>
      <c r="B9" s="49">
        <v>338493.33360000001</v>
      </c>
      <c r="C9" s="50">
        <v>827000</v>
      </c>
      <c r="D9" s="50">
        <v>1794000</v>
      </c>
      <c r="E9" s="50">
        <v>1899000</v>
      </c>
      <c r="F9" s="50">
        <v>1704000</v>
      </c>
      <c r="G9" s="17">
        <f t="shared" si="0"/>
        <v>6224000</v>
      </c>
      <c r="H9" s="17">
        <f t="shared" si="1"/>
        <v>393403.21082936763</v>
      </c>
      <c r="I9" s="17">
        <f t="shared" si="2"/>
        <v>5830596.7891706321</v>
      </c>
    </row>
    <row r="10" spans="1:9" ht="15.75" customHeight="1" x14ac:dyDescent="0.2">
      <c r="A10" s="5">
        <f t="shared" si="3"/>
        <v>2029</v>
      </c>
      <c r="B10" s="49">
        <v>335308.54840000003</v>
      </c>
      <c r="C10" s="50">
        <v>826000</v>
      </c>
      <c r="D10" s="50">
        <v>1771000</v>
      </c>
      <c r="E10" s="50">
        <v>1901000</v>
      </c>
      <c r="F10" s="50">
        <v>1740000</v>
      </c>
      <c r="G10" s="17">
        <f t="shared" si="0"/>
        <v>6238000</v>
      </c>
      <c r="H10" s="17">
        <f t="shared" si="1"/>
        <v>389701.79458534077</v>
      </c>
      <c r="I10" s="17">
        <f t="shared" si="2"/>
        <v>5848298.2054146593</v>
      </c>
    </row>
    <row r="11" spans="1:9" ht="15.75" customHeight="1" x14ac:dyDescent="0.2">
      <c r="A11" s="5">
        <f t="shared" si="3"/>
        <v>2030</v>
      </c>
      <c r="B11" s="49">
        <v>332026.76</v>
      </c>
      <c r="C11" s="50">
        <v>827000</v>
      </c>
      <c r="D11" s="50">
        <v>1749000</v>
      </c>
      <c r="E11" s="50">
        <v>1898000</v>
      </c>
      <c r="F11" s="50">
        <v>1770000</v>
      </c>
      <c r="G11" s="17">
        <f t="shared" si="0"/>
        <v>6244000</v>
      </c>
      <c r="H11" s="17">
        <f t="shared" si="1"/>
        <v>385887.6394287484</v>
      </c>
      <c r="I11" s="17">
        <f t="shared" si="2"/>
        <v>5858112.3605712513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Et1aEY7oEuxOue8ZkKt91OEjYhDGJhxTMLjxejYnJHezaVRjODgGL26cdSWGxoqo9MB+53IRqvBM8bQhvwC42w==" saltValue="NPClQ0iT8hR0sQvZDB6tgg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3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3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3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3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3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3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wq64dHX0SDfneV/heIBnQep0MKzJDKrFd41H0IWkVf2pMQF2LzwgM5fAhoT+fdI74+2QfPBV0Elvd+o0uaux6w==" saltValue="RJy348o7iXKGZ1R9ofLys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epNJFbYFdpZ0q856Xjz+hvpnrHCIGXzVrW4m5z8/i3D7a0cIwQeyPl7Jeh27ws+gNl059QOwzcKGTG6cM7E5ww==" saltValue="B0YKySxZ6Ie0+PNuyKdKQ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cM0gyzT+a9ONJkTbVoseWCteEfr6MlXFpTa0riXqeE3SWOxxUrUTJDyx1zC1DTOTebCuF6RBKipsYnUIfzRJwg==" saltValue="ukjqU4eHSLqLURx3MOOsk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P1dVWEimDjuMoNoyI8Vp4cRBxnuyDnHPZTgex8T6A1Aw4xambxt7bYVikDh0gePK1fgX6scK08e/Ag8LCnySkw==" saltValue="BueZrxrMMgXmntTFbEcE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UXCwcqS0PgMcBoz3mcL3SkeDrY0Zl09P5cIY5Cgdss5HdrKmGnEB61AMsU8RV6zpm127/bJ2dKdpFu0GVEGzmw==" saltValue="PVCmxleEpLpqHEVNuqh4k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RhhNhrMcU/FpQ91WYxcUm3g+qhvMU+YjlMNPRi9OKVDlSohem3aO0+d/CWqjB0X7IkOIM55xiimma/Zj3WE2bQ==" saltValue="ufr94e08w1BZmlD814ZKo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FcgLFqFUrA4K4oCOllRBHIGsLbbiT16hrPeFCLrHGIBUA/+AwZqyxrI3/l7KRzFZ8PPh1l/KZoVmgxH4k7sICQ==" saltValue="Gpc829B0ZCq49nlQxNVGv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M0buVme49gj3qfJIYhCK9nQvV0+VPJ9y4TXbbkGwSTz45tDgAmzV++GFq0Zb6Rx+/7PbCSIG6z/1lj9O15SE4w==" saltValue="5OivP4aCoctcDrqtctUb0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bio3e0ZU0lNaOrcy0Eea+/SugVZGSdDnuNTIX0dI1xuztFON0OuoJgVQY5zFa1i24c0YzLDcQF0jOpBudbaEDw==" saltValue="xA/m5pVW1rmMXUfqEiOJo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8.1432633319155259E-3</v>
      </c>
    </row>
    <row r="4" spans="1:8" ht="15.75" customHeight="1" x14ac:dyDescent="0.2">
      <c r="B4" s="19" t="s">
        <v>97</v>
      </c>
      <c r="C4" s="101">
        <v>0.12976204685914461</v>
      </c>
    </row>
    <row r="5" spans="1:8" ht="15.75" customHeight="1" x14ac:dyDescent="0.2">
      <c r="B5" s="19" t="s">
        <v>95</v>
      </c>
      <c r="C5" s="101">
        <v>7.7865012384755711E-2</v>
      </c>
    </row>
    <row r="6" spans="1:8" ht="15.75" customHeight="1" x14ac:dyDescent="0.2">
      <c r="B6" s="19" t="s">
        <v>91</v>
      </c>
      <c r="C6" s="101">
        <v>0.31596497329182399</v>
      </c>
    </row>
    <row r="7" spans="1:8" ht="15.75" customHeight="1" x14ac:dyDescent="0.2">
      <c r="B7" s="19" t="s">
        <v>96</v>
      </c>
      <c r="C7" s="101">
        <v>0.30968754452631331</v>
      </c>
    </row>
    <row r="8" spans="1:8" ht="15.75" customHeight="1" x14ac:dyDescent="0.2">
      <c r="B8" s="19" t="s">
        <v>98</v>
      </c>
      <c r="C8" s="101">
        <v>2.6987395994716251E-2</v>
      </c>
    </row>
    <row r="9" spans="1:8" ht="15.75" customHeight="1" x14ac:dyDescent="0.2">
      <c r="B9" s="19" t="s">
        <v>92</v>
      </c>
      <c r="C9" s="101">
        <v>6.4952087484845364E-2</v>
      </c>
    </row>
    <row r="10" spans="1:8" ht="15.75" customHeight="1" x14ac:dyDescent="0.2">
      <c r="B10" s="19" t="s">
        <v>94</v>
      </c>
      <c r="C10" s="101">
        <v>6.6637676126485385E-2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">
      <c r="B14" s="19" t="s">
        <v>84</v>
      </c>
      <c r="C14" s="55">
        <v>0.15662695285906589</v>
      </c>
      <c r="D14" s="55">
        <v>0.15662695285906589</v>
      </c>
      <c r="E14" s="55">
        <v>0.15662695285906589</v>
      </c>
      <c r="F14" s="55">
        <v>0.15662695285906589</v>
      </c>
    </row>
    <row r="15" spans="1:8" ht="15.75" customHeight="1" x14ac:dyDescent="0.2">
      <c r="B15" s="19" t="s">
        <v>102</v>
      </c>
      <c r="C15" s="101">
        <v>0.24622816989591451</v>
      </c>
      <c r="D15" s="101">
        <v>0.24622816989591451</v>
      </c>
      <c r="E15" s="101">
        <v>0.24622816989591451</v>
      </c>
      <c r="F15" s="101">
        <v>0.24622816989591451</v>
      </c>
    </row>
    <row r="16" spans="1:8" ht="15.75" customHeight="1" x14ac:dyDescent="0.2">
      <c r="B16" s="19" t="s">
        <v>2</v>
      </c>
      <c r="C16" s="101">
        <v>4.7439522746979892E-2</v>
      </c>
      <c r="D16" s="101">
        <v>4.7439522746979892E-2</v>
      </c>
      <c r="E16" s="101">
        <v>4.7439522746979892E-2</v>
      </c>
      <c r="F16" s="101">
        <v>4.7439522746979892E-2</v>
      </c>
    </row>
    <row r="17" spans="1:8" ht="15.75" customHeight="1" x14ac:dyDescent="0.2">
      <c r="B17" s="19" t="s">
        <v>90</v>
      </c>
      <c r="C17" s="101">
        <v>2.432634959063423E-2</v>
      </c>
      <c r="D17" s="101">
        <v>2.432634959063423E-2</v>
      </c>
      <c r="E17" s="101">
        <v>2.432634959063423E-2</v>
      </c>
      <c r="F17" s="101">
        <v>2.432634959063423E-2</v>
      </c>
    </row>
    <row r="18" spans="1:8" ht="15.75" customHeight="1" x14ac:dyDescent="0.2">
      <c r="B18" s="19" t="s">
        <v>3</v>
      </c>
      <c r="C18" s="101">
        <v>0.1502694392618322</v>
      </c>
      <c r="D18" s="101">
        <v>0.1502694392618322</v>
      </c>
      <c r="E18" s="101">
        <v>0.1502694392618322</v>
      </c>
      <c r="F18" s="101">
        <v>0.1502694392618322</v>
      </c>
    </row>
    <row r="19" spans="1:8" ht="15.75" customHeight="1" x14ac:dyDescent="0.2">
      <c r="B19" s="19" t="s">
        <v>101</v>
      </c>
      <c r="C19" s="101">
        <v>1.7924203807020429E-2</v>
      </c>
      <c r="D19" s="101">
        <v>1.7924203807020429E-2</v>
      </c>
      <c r="E19" s="101">
        <v>1.7924203807020429E-2</v>
      </c>
      <c r="F19" s="101">
        <v>1.7924203807020429E-2</v>
      </c>
    </row>
    <row r="20" spans="1:8" ht="15.75" customHeight="1" x14ac:dyDescent="0.2">
      <c r="B20" s="19" t="s">
        <v>79</v>
      </c>
      <c r="C20" s="101">
        <v>1.8584359136878791E-2</v>
      </c>
      <c r="D20" s="101">
        <v>1.8584359136878791E-2</v>
      </c>
      <c r="E20" s="101">
        <v>1.8584359136878791E-2</v>
      </c>
      <c r="F20" s="101">
        <v>1.8584359136878791E-2</v>
      </c>
    </row>
    <row r="21" spans="1:8" ht="15.75" customHeight="1" x14ac:dyDescent="0.2">
      <c r="B21" s="19" t="s">
        <v>88</v>
      </c>
      <c r="C21" s="101">
        <v>7.9453353256657089E-2</v>
      </c>
      <c r="D21" s="101">
        <v>7.9453353256657089E-2</v>
      </c>
      <c r="E21" s="101">
        <v>7.9453353256657089E-2</v>
      </c>
      <c r="F21" s="101">
        <v>7.9453353256657089E-2</v>
      </c>
    </row>
    <row r="22" spans="1:8" ht="15.75" customHeight="1" x14ac:dyDescent="0.2">
      <c r="B22" s="19" t="s">
        <v>99</v>
      </c>
      <c r="C22" s="101">
        <v>0.25914764944501711</v>
      </c>
      <c r="D22" s="101">
        <v>0.25914764944501711</v>
      </c>
      <c r="E22" s="101">
        <v>0.25914764944501711</v>
      </c>
      <c r="F22" s="101">
        <v>0.25914764944501711</v>
      </c>
    </row>
    <row r="23" spans="1:8" ht="15.75" customHeight="1" x14ac:dyDescent="0.2">
      <c r="B23" s="27" t="s">
        <v>60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8.6847340999999995E-2</v>
      </c>
    </row>
    <row r="27" spans="1:8" ht="15.75" customHeight="1" x14ac:dyDescent="0.2">
      <c r="B27" s="19" t="s">
        <v>89</v>
      </c>
      <c r="C27" s="101">
        <v>8.4805239999999997E-3</v>
      </c>
    </row>
    <row r="28" spans="1:8" ht="15.75" customHeight="1" x14ac:dyDescent="0.2">
      <c r="B28" s="19" t="s">
        <v>103</v>
      </c>
      <c r="C28" s="101">
        <v>0.15529126400000001</v>
      </c>
    </row>
    <row r="29" spans="1:8" ht="15.75" customHeight="1" x14ac:dyDescent="0.2">
      <c r="B29" s="19" t="s">
        <v>86</v>
      </c>
      <c r="C29" s="101">
        <v>0.168382743</v>
      </c>
    </row>
    <row r="30" spans="1:8" ht="15.75" customHeight="1" x14ac:dyDescent="0.2">
      <c r="B30" s="19" t="s">
        <v>4</v>
      </c>
      <c r="C30" s="101">
        <v>0.105182391</v>
      </c>
    </row>
    <row r="31" spans="1:8" ht="15.75" customHeight="1" x14ac:dyDescent="0.2">
      <c r="B31" s="19" t="s">
        <v>80</v>
      </c>
      <c r="C31" s="101">
        <v>0.10869061100000001</v>
      </c>
    </row>
    <row r="32" spans="1:8" ht="15.75" customHeight="1" x14ac:dyDescent="0.2">
      <c r="B32" s="19" t="s">
        <v>85</v>
      </c>
      <c r="C32" s="101">
        <v>1.8206013E-2</v>
      </c>
    </row>
    <row r="33" spans="2:3" ht="15.75" customHeight="1" x14ac:dyDescent="0.2">
      <c r="B33" s="19" t="s">
        <v>100</v>
      </c>
      <c r="C33" s="101">
        <v>8.4055170999999984E-2</v>
      </c>
    </row>
    <row r="34" spans="2:3" ht="15.75" customHeight="1" x14ac:dyDescent="0.2">
      <c r="B34" s="19" t="s">
        <v>87</v>
      </c>
      <c r="C34" s="101">
        <v>0.26486394200000002</v>
      </c>
    </row>
    <row r="35" spans="2:3" ht="15.75" customHeight="1" x14ac:dyDescent="0.2">
      <c r="B35" s="27" t="s">
        <v>60</v>
      </c>
      <c r="C35" s="48">
        <f>SUM(C26:C34)</f>
        <v>1</v>
      </c>
    </row>
  </sheetData>
  <sheetProtection algorithmName="SHA-512" hashValue="rXFC9sv41T7S1y/wJCI5toyvHm/m3NRNOgSgDLPm0dBFjja71OKUHBsL59+L7DB/r9WqfsJJF7jxW2Wi+xbc/g==" saltValue="76YbZuThljxOGXrJqPfs7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0.45762340295951376</v>
      </c>
      <c r="D2" s="52">
        <f>IFERROR(1-_xlfn.NORM.DIST(_xlfn.NORM.INV(SUM(D4:D5), 0, 1) + 1, 0, 1, TRUE), "")</f>
        <v>0.45762340295951376</v>
      </c>
      <c r="E2" s="52">
        <f>IFERROR(1-_xlfn.NORM.DIST(_xlfn.NORM.INV(SUM(E4:E5), 0, 1) + 1, 0, 1, TRUE), "")</f>
        <v>0.39273773179801696</v>
      </c>
      <c r="F2" s="52">
        <f>IFERROR(1-_xlfn.NORM.DIST(_xlfn.NORM.INV(SUM(F4:F5), 0, 1) + 1, 0, 1, TRUE), "")</f>
        <v>0.238653245936984</v>
      </c>
      <c r="G2" s="52">
        <f>IFERROR(1-_xlfn.NORM.DIST(_xlfn.NORM.INV(SUM(G4:G5), 0, 1) + 1, 0, 1, TRUE), "")</f>
        <v>0.21596854306104141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0.35660248904048625</v>
      </c>
      <c r="D3" s="52">
        <f>IFERROR(_xlfn.NORM.DIST(_xlfn.NORM.INV(SUM(D4:D5), 0, 1) + 1, 0, 1, TRUE) - SUM(D4:D5), "")</f>
        <v>0.35660248904048625</v>
      </c>
      <c r="E3" s="52">
        <f>IFERROR(_xlfn.NORM.DIST(_xlfn.NORM.INV(SUM(E4:E5), 0, 1) + 1, 0, 1, TRUE) - SUM(E4:E5), "")</f>
        <v>0.37389713120198304</v>
      </c>
      <c r="F3" s="52">
        <f>IFERROR(_xlfn.NORM.DIST(_xlfn.NORM.INV(SUM(F4:F5), 0, 1) + 1, 0, 1, TRUE) - SUM(F4:F5), "")</f>
        <v>0.375193274063016</v>
      </c>
      <c r="G3" s="52">
        <f>IFERROR(_xlfn.NORM.DIST(_xlfn.NORM.INV(SUM(G4:G5), 0, 1) + 1, 0, 1, TRUE) - SUM(G4:G5), "")</f>
        <v>0.36880424693895864</v>
      </c>
    </row>
    <row r="4" spans="1:15" ht="15.75" customHeight="1" x14ac:dyDescent="0.2">
      <c r="B4" s="5" t="s">
        <v>110</v>
      </c>
      <c r="C4" s="45">
        <v>0.12186411</v>
      </c>
      <c r="D4" s="53">
        <v>0.12186411</v>
      </c>
      <c r="E4" s="53">
        <v>0.15877978000000001</v>
      </c>
      <c r="F4" s="53">
        <v>0.22776905</v>
      </c>
      <c r="G4" s="53">
        <v>0.20568164999999999</v>
      </c>
    </row>
    <row r="5" spans="1:15" ht="15.75" customHeight="1" x14ac:dyDescent="0.2">
      <c r="B5" s="5" t="s">
        <v>106</v>
      </c>
      <c r="C5" s="45">
        <v>6.390999800000001E-2</v>
      </c>
      <c r="D5" s="53">
        <v>6.390999800000001E-2</v>
      </c>
      <c r="E5" s="53">
        <v>7.4585356999999991E-2</v>
      </c>
      <c r="F5" s="53">
        <v>0.15838442999999999</v>
      </c>
      <c r="G5" s="53">
        <v>0.20954555999999999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0.68185468461854504</v>
      </c>
      <c r="D8" s="52">
        <f>IFERROR(1-_xlfn.NORM.DIST(_xlfn.NORM.INV(SUM(D10:D11), 0, 1) + 1, 0, 1, TRUE), "")</f>
        <v>0.68185468461854504</v>
      </c>
      <c r="E8" s="52">
        <f>IFERROR(1-_xlfn.NORM.DIST(_xlfn.NORM.INV(SUM(E10:E11), 0, 1) + 1, 0, 1, TRUE), "")</f>
        <v>0.53847791681949908</v>
      </c>
      <c r="F8" s="52">
        <f>IFERROR(1-_xlfn.NORM.DIST(_xlfn.NORM.INV(SUM(F10:F11), 0, 1) + 1, 0, 1, TRUE), "")</f>
        <v>0.58750905329585978</v>
      </c>
      <c r="G8" s="52">
        <f>IFERROR(1-_xlfn.NORM.DIST(_xlfn.NORM.INV(SUM(G10:G11), 0, 1) + 1, 0, 1, TRUE), "")</f>
        <v>0.77189097933177753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0.24775516038145495</v>
      </c>
      <c r="D9" s="52">
        <f>IFERROR(_xlfn.NORM.DIST(_xlfn.NORM.INV(SUM(D10:D11), 0, 1) + 1, 0, 1, TRUE) - SUM(D10:D11), "")</f>
        <v>0.24775516038145495</v>
      </c>
      <c r="E9" s="52">
        <f>IFERROR(_xlfn.NORM.DIST(_xlfn.NORM.INV(SUM(E10:E11), 0, 1) + 1, 0, 1, TRUE) - SUM(E10:E11), "")</f>
        <v>0.32511390918050093</v>
      </c>
      <c r="F9" s="52">
        <f>IFERROR(_xlfn.NORM.DIST(_xlfn.NORM.INV(SUM(F10:F11), 0, 1) + 1, 0, 1, TRUE) - SUM(F10:F11), "")</f>
        <v>0.30147481070414017</v>
      </c>
      <c r="G9" s="52">
        <f>IFERROR(_xlfn.NORM.DIST(_xlfn.NORM.INV(SUM(G10:G11), 0, 1) + 1, 0, 1, TRUE) - SUM(G10:G11), "")</f>
        <v>0.18762431396822243</v>
      </c>
    </row>
    <row r="10" spans="1:15" ht="15.75" customHeight="1" x14ac:dyDescent="0.2">
      <c r="B10" s="5" t="s">
        <v>107</v>
      </c>
      <c r="C10" s="45">
        <v>4.6751927999999998E-2</v>
      </c>
      <c r="D10" s="53">
        <v>4.6751927999999998E-2</v>
      </c>
      <c r="E10" s="53">
        <v>0.10321615000000001</v>
      </c>
      <c r="F10" s="53">
        <v>7.7771478000000005E-2</v>
      </c>
      <c r="G10" s="53">
        <v>3.1628560999999999E-2</v>
      </c>
    </row>
    <row r="11" spans="1:15" ht="15.75" customHeight="1" x14ac:dyDescent="0.2">
      <c r="B11" s="5" t="s">
        <v>119</v>
      </c>
      <c r="C11" s="45">
        <v>2.3638227000000001E-2</v>
      </c>
      <c r="D11" s="53">
        <v>2.3638227000000001E-2</v>
      </c>
      <c r="E11" s="53">
        <v>3.3192024000000001E-2</v>
      </c>
      <c r="F11" s="53">
        <v>3.3244658000000003E-2</v>
      </c>
      <c r="G11" s="53">
        <v>8.8561457E-3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0.55798007500000002</v>
      </c>
      <c r="D14" s="54">
        <v>0.52895796887199997</v>
      </c>
      <c r="E14" s="54">
        <v>0.52895796887199997</v>
      </c>
      <c r="F14" s="54">
        <v>0.31842903291500002</v>
      </c>
      <c r="G14" s="54">
        <v>0.31842903291500002</v>
      </c>
      <c r="H14" s="45">
        <v>0.57799999999999996</v>
      </c>
      <c r="I14" s="55">
        <v>0.57799999999999996</v>
      </c>
      <c r="J14" s="55">
        <v>0.57799999999999996</v>
      </c>
      <c r="K14" s="55">
        <v>0.57799999999999996</v>
      </c>
      <c r="L14" s="45">
        <v>0.48799999999999999</v>
      </c>
      <c r="M14" s="55">
        <v>0.48799999999999999</v>
      </c>
      <c r="N14" s="55">
        <v>0.48799999999999999</v>
      </c>
      <c r="O14" s="55">
        <v>0.48799999999999999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0.23399117637155001</v>
      </c>
      <c r="D15" s="52">
        <f t="shared" si="0"/>
        <v>0.22182064007834867</v>
      </c>
      <c r="E15" s="52">
        <f t="shared" si="0"/>
        <v>0.22182064007834867</v>
      </c>
      <c r="F15" s="52">
        <f t="shared" si="0"/>
        <v>0.13353448866903692</v>
      </c>
      <c r="G15" s="52">
        <f t="shared" si="0"/>
        <v>0.13353448866903692</v>
      </c>
      <c r="H15" s="52">
        <f t="shared" si="0"/>
        <v>0.24238661199999997</v>
      </c>
      <c r="I15" s="52">
        <f t="shared" si="0"/>
        <v>0.24238661199999997</v>
      </c>
      <c r="J15" s="52">
        <f t="shared" si="0"/>
        <v>0.24238661199999997</v>
      </c>
      <c r="K15" s="52">
        <f t="shared" si="0"/>
        <v>0.24238661199999997</v>
      </c>
      <c r="L15" s="52">
        <f t="shared" si="0"/>
        <v>0.20464475199999999</v>
      </c>
      <c r="M15" s="52">
        <f t="shared" si="0"/>
        <v>0.20464475199999999</v>
      </c>
      <c r="N15" s="52">
        <f t="shared" si="0"/>
        <v>0.20464475199999999</v>
      </c>
      <c r="O15" s="52">
        <f t="shared" si="0"/>
        <v>0.20464475199999999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Ag8NbO/tJvKNFW2gtujtTXwrH1NhIZVtcYWS5MbrBI8qh6CbqJttJ/9vJxFHgdTQqtlqEPRn7VBm/WfS5j1BHQ==" saltValue="Kz0ygaBqN8frQkDmxqQWi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0.38865440000000001</v>
      </c>
      <c r="D2" s="53">
        <v>0.26556879999999999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0.47791139999999999</v>
      </c>
      <c r="D3" s="53">
        <v>0.42204710000000001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0.1189286</v>
      </c>
      <c r="D4" s="53">
        <v>0.29107519999999998</v>
      </c>
      <c r="E4" s="53">
        <v>0.96553879976272594</v>
      </c>
      <c r="F4" s="53">
        <v>0.662742018699646</v>
      </c>
      <c r="G4" s="53">
        <v>0</v>
      </c>
    </row>
    <row r="5" spans="1:7" x14ac:dyDescent="0.2">
      <c r="B5" s="3" t="s">
        <v>125</v>
      </c>
      <c r="C5" s="52">
        <v>1.450566E-2</v>
      </c>
      <c r="D5" s="52">
        <v>2.1308899999999999E-2</v>
      </c>
      <c r="E5" s="52">
        <f>1-SUM(E2:E4)</f>
        <v>3.4461200237274059E-2</v>
      </c>
      <c r="F5" s="52">
        <f>1-SUM(F2:F4)</f>
        <v>0.337257981300354</v>
      </c>
      <c r="G5" s="52">
        <f>1-SUM(G2:G4)</f>
        <v>1</v>
      </c>
    </row>
  </sheetData>
  <sheetProtection algorithmName="SHA-512" hashValue="XbY128CEaRqqeT+XnDq9ZgmqkVY1v/SmVv1+2hY8Enl+w5eJ5EqvxcMDF4SdelM9Dr9LBqgKksGQLVxGeHXe+g==" saltValue="fCuKcszbEzgBs1JYIbPWdg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AJeqEM4YjYhCz+AP9vBehMB+c06tZTyYKrXJGy+0Xm0MedUXcAePhZizxL4XLbzNi676W6DF0lNmp5vHbzt/Cw==" saltValue="8cVDkR4OYxJ3yDW5Qy2YE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UEJMbSES140ng0ihhXtlPi4Tk7GPYqRsudPDCUbkLoPXnit4QonGhPgYUPRfP3UJe6nlPEkkQBvxjXRE73izpw==" saltValue="o841yYM5K05e74m/EkJ6v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MZxlOdM7GZyICDrytPK29qOZdxPnrQec4WJeyq3u2pZANazg1HqtJs1ITCCsXOjrMq8Hbq7EvfIZXFbYhXJ+ZA==" saltValue="WMfQwsAj7jQ1JpZ91TXpt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EKek7aEEr+LTReZcS7xZhDjpo9LXhwHA+e+3jY0C8Lfhd3nEDcoPyw7S9qQOcDWMr52j48sowP2tbu51ITezKA==" saltValue="+IbeYoeWov/ReXG372Mk5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2023-01-27T02:46:43Z</dcterms:modified>
</cp:coreProperties>
</file>