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4B9885E7-460E-408C-AC7E-40651AA5A1FF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A26" i="2"/>
  <c r="A24" i="2"/>
  <c r="A23" i="2"/>
  <c r="A21" i="2"/>
  <c r="A19" i="2"/>
  <c r="A18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I7" i="2"/>
  <c r="H7" i="2"/>
  <c r="G7" i="2"/>
  <c r="I6" i="2"/>
  <c r="H6" i="2"/>
  <c r="G6" i="2"/>
  <c r="H5" i="2"/>
  <c r="I5" i="2" s="1"/>
  <c r="G5" i="2"/>
  <c r="H4" i="2"/>
  <c r="I4" i="2" s="1"/>
  <c r="G4" i="2"/>
  <c r="H3" i="2"/>
  <c r="I3" i="2" s="1"/>
  <c r="G3" i="2"/>
  <c r="A3" i="2"/>
  <c r="I2" i="2"/>
  <c r="H2" i="2"/>
  <c r="G2" i="2"/>
  <c r="A2" i="2"/>
  <c r="A40" i="2" s="1"/>
  <c r="C33" i="1"/>
  <c r="C20" i="1"/>
  <c r="A27" i="2" l="1"/>
  <c r="A29" i="2"/>
  <c r="A31" i="2"/>
  <c r="A32" i="2"/>
  <c r="A34" i="2"/>
  <c r="A35" i="2"/>
  <c r="A37" i="2"/>
  <c r="A15" i="2"/>
  <c r="A13" i="2"/>
  <c r="A16" i="2"/>
  <c r="A39" i="2"/>
  <c r="A17" i="2"/>
  <c r="A25" i="2"/>
  <c r="A33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<sst xmlns="http://schemas.openxmlformats.org/spreadsheetml/2006/main" count="2092" uniqueCount="337">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</sst>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1018849.9140625</v>
      </c>
    </row>
    <row r="8" spans="1:3" ht="15" customHeight="1" x14ac:dyDescent="0.2">
      <c r="B8" s="5" t="s">
        <v>19</v>
      </c>
      <c r="C8" s="44">
        <v>3.5000000000000003E-2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0.80865753173828092</v>
      </c>
    </row>
    <row r="11" spans="1:3" ht="15" customHeight="1" x14ac:dyDescent="0.2">
      <c r="B11" s="5" t="s">
        <v>22</v>
      </c>
      <c r="C11" s="45">
        <v>0.62</v>
      </c>
    </row>
    <row r="12" spans="1:3" ht="15" customHeight="1" x14ac:dyDescent="0.2">
      <c r="B12" s="5" t="s">
        <v>23</v>
      </c>
      <c r="C12" s="45">
        <v>0.72</v>
      </c>
    </row>
    <row r="13" spans="1:3" ht="15" customHeight="1" x14ac:dyDescent="0.2">
      <c r="B13" s="5" t="s">
        <v>24</v>
      </c>
      <c r="C13" s="45">
        <v>0.249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0.1108</v>
      </c>
    </row>
    <row r="24" spans="1:3" ht="15" customHeight="1" x14ac:dyDescent="0.2">
      <c r="B24" s="15" t="s">
        <v>33</v>
      </c>
      <c r="C24" s="45">
        <v>0.51619999999999999</v>
      </c>
    </row>
    <row r="25" spans="1:3" ht="15" customHeight="1" x14ac:dyDescent="0.2">
      <c r="B25" s="15" t="s">
        <v>34</v>
      </c>
      <c r="C25" s="45">
        <v>0.3543</v>
      </c>
    </row>
    <row r="26" spans="1:3" ht="15" customHeight="1" x14ac:dyDescent="0.2">
      <c r="B26" s="15" t="s">
        <v>35</v>
      </c>
      <c r="C26" s="45">
        <v>1.8700000000000001E-2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0.35675533525383901</v>
      </c>
    </row>
    <row r="30" spans="1:3" ht="14.25" customHeight="1" x14ac:dyDescent="0.2">
      <c r="B30" s="25" t="s">
        <v>38</v>
      </c>
      <c r="C30" s="99">
        <v>6.5910586704521698E-2</v>
      </c>
    </row>
    <row r="31" spans="1:3" ht="14.25" customHeight="1" x14ac:dyDescent="0.2">
      <c r="B31" s="25" t="s">
        <v>39</v>
      </c>
      <c r="C31" s="99">
        <v>9.262041217609189E-2</v>
      </c>
    </row>
    <row r="32" spans="1:3" ht="14.25" customHeight="1" x14ac:dyDescent="0.2">
      <c r="B32" s="25" t="s">
        <v>40</v>
      </c>
      <c r="C32" s="99">
        <v>0.48471366586554798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3.4494386581701701</v>
      </c>
    </row>
    <row r="38" spans="1:5" ht="15" customHeight="1" x14ac:dyDescent="0.2">
      <c r="B38" s="11" t="s">
        <v>45</v>
      </c>
      <c r="C38" s="43">
        <v>5.6946702691401896</v>
      </c>
      <c r="D38" s="12"/>
      <c r="E38" s="13"/>
    </row>
    <row r="39" spans="1:5" ht="15" customHeight="1" x14ac:dyDescent="0.2">
      <c r="B39" s="11" t="s">
        <v>46</v>
      </c>
      <c r="C39" s="43">
        <v>6.9787128462022396</v>
      </c>
      <c r="D39" s="12"/>
      <c r="E39" s="12"/>
    </row>
    <row r="40" spans="1:5" ht="15" customHeight="1" x14ac:dyDescent="0.2">
      <c r="B40" s="11" t="s">
        <v>47</v>
      </c>
      <c r="C40" s="100">
        <v>0.19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3.2249903579999999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7.1092000000000004E-3</v>
      </c>
      <c r="D45" s="12"/>
    </row>
    <row r="46" spans="1:5" ht="15.75" customHeight="1" x14ac:dyDescent="0.2">
      <c r="B46" s="11" t="s">
        <v>52</v>
      </c>
      <c r="C46" s="45">
        <v>7.7322399999999999E-2</v>
      </c>
      <c r="D46" s="12"/>
    </row>
    <row r="47" spans="1:5" ht="15.75" customHeight="1" x14ac:dyDescent="0.2">
      <c r="B47" s="11" t="s">
        <v>53</v>
      </c>
      <c r="C47" s="45">
        <v>3.2497100000000001E-2</v>
      </c>
      <c r="D47" s="12"/>
      <c r="E47" s="13"/>
    </row>
    <row r="48" spans="1:5" ht="15" customHeight="1" x14ac:dyDescent="0.2">
      <c r="B48" s="11" t="s">
        <v>54</v>
      </c>
      <c r="C48" s="46">
        <v>0.8830713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2.8</v>
      </c>
      <c r="D51" s="12"/>
    </row>
    <row r="52" spans="1:4" ht="15" customHeight="1" x14ac:dyDescent="0.2">
      <c r="B52" s="11" t="s">
        <v>57</v>
      </c>
      <c r="C52" s="100">
        <v>2.8</v>
      </c>
    </row>
    <row r="53" spans="1:4" ht="15.75" customHeight="1" x14ac:dyDescent="0.2">
      <c r="B53" s="11" t="s">
        <v>58</v>
      </c>
      <c r="C53" s="100">
        <v>2.8</v>
      </c>
    </row>
    <row r="54" spans="1:4" ht="15.75" customHeight="1" x14ac:dyDescent="0.2">
      <c r="B54" s="11" t="s">
        <v>59</v>
      </c>
      <c r="C54" s="100">
        <v>2.8</v>
      </c>
    </row>
    <row r="55" spans="1:4" ht="15.75" customHeight="1" x14ac:dyDescent="0.2">
      <c r="B55" s="11" t="s">
        <v>60</v>
      </c>
      <c r="C55" s="100">
        <v>2.8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1.6428571428571431E-2</v>
      </c>
    </row>
    <row r="59" spans="1:4" ht="15.75" customHeight="1" x14ac:dyDescent="0.2">
      <c r="B59" s="11" t="s">
        <v>63</v>
      </c>
      <c r="C59" s="45">
        <v>0.62845099999999998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8.1845530999999999E-2</v>
      </c>
    </row>
    <row r="63" spans="1:4" ht="15.75" customHeight="1" x14ac:dyDescent="0.2">
      <c r="A63" s="4"/>
    </row>
  </sheetData>
  <sheetProtection algorithmName="SHA-512" hashValue="5PtB9iRvp4DuyJZej+B7jvo6WD+qGVYYDpsqVddDbVhlw6Nc0I54HAK7QRrhpPqCI+NpK1iW/dnhXX+hy93rZw==" saltValue="5ZVPw5G3PRY83FH0tCYK1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</v>
      </c>
      <c r="C2" s="98">
        <v>0.95</v>
      </c>
      <c r="D2" s="56">
        <v>92.337747645899924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40.649110236447719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952.2771040936276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8.6128948600850652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13.78140968024363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13.78140968024363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13.78140968024363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13.78140968024363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13.78140968024363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13.78140968024363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1.4881754801389779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21.79150990690356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21.79150990690356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</v>
      </c>
      <c r="C21" s="98">
        <v>0.95</v>
      </c>
      <c r="D21" s="56">
        <v>91.149218966868133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24.185634611008918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4.7601065600060064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</v>
      </c>
      <c r="C27" s="98">
        <v>0.95</v>
      </c>
      <c r="D27" s="56">
        <v>19.347107873216441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191.95165548538569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0.83197235394544489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</v>
      </c>
      <c r="C32" s="98">
        <v>0.95</v>
      </c>
      <c r="D32" s="56">
        <v>3.2744527743238541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0.84309924344814502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4.9836110403594773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34bckkFbxstyB/3Vip1xEf1SF6r2lcN2uqOVRh1jClT/7s4pPzNhlDeaeReCk84oXKqk+2ZQnaxAP2ayJ9RV0g==" saltValue="tjVeyhvA2O3XE4FjiVzi7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m4EIEUAROUQiy/1YiYDIWDDh2vwRcyTkxv0iHjojbce605VPwdKBL9Cr4M88/oaYJR2wzfkluDgeUSX0hDPwbw==" saltValue="Jpbgz3ygJNUb+fIvn898U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9jHPcuiIYmmFdGAYaYm6xCxJbsWraAEQMxjv/tLpAF9TCcK72Lp25Z19HGqqPafAYyeie3CvYKVqdx1rPX95RA==" saltValue="uuHiQ2IaqCJsmk3sHrdZu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">
      <c r="A3" s="3" t="s">
        <v>209</v>
      </c>
      <c r="B3" s="21">
        <f>frac_mam_1month * 2.6</f>
        <v>0.18201947558038559</v>
      </c>
      <c r="C3" s="21">
        <f>frac_mam_1_5months * 2.6</f>
        <v>0.18201947558038559</v>
      </c>
      <c r="D3" s="21">
        <f>frac_mam_6_11months * 2.6</f>
        <v>0.10527129588199952</v>
      </c>
      <c r="E3" s="21">
        <f>frac_mam_12_23months * 2.6</f>
        <v>5.6188773086799863E-2</v>
      </c>
      <c r="F3" s="21">
        <f>frac_mam_24_59months * 2.6</f>
        <v>4.7173474617443208E-2</v>
      </c>
    </row>
    <row r="4" spans="1:6" ht="15.75" customHeight="1" x14ac:dyDescent="0.2">
      <c r="A4" s="3" t="s">
        <v>208</v>
      </c>
      <c r="B4" s="21">
        <f>frac_sam_1month * 2.6</f>
        <v>0.11838290131538888</v>
      </c>
      <c r="C4" s="21">
        <f>frac_sam_1_5months * 2.6</f>
        <v>0.11838290131538888</v>
      </c>
      <c r="D4" s="21">
        <f>frac_sam_6_11months * 2.6</f>
        <v>5.3628706098394707E-2</v>
      </c>
      <c r="E4" s="21">
        <f>frac_sam_12_23months * 2.6</f>
        <v>3.5214787126157339E-2</v>
      </c>
      <c r="F4" s="21">
        <f>frac_sam_24_59months * 2.6</f>
        <v>3.1943934111073664E-2</v>
      </c>
    </row>
  </sheetData>
  <sheetProtection algorithmName="SHA-512" hashValue="068uuYWGWn6Lo61W37lXRmKyyQjFgz8jTYD2iV0sgwyTph1GVHdVQd1RZm0Y6xx6qrobBS7ni9Pp4GH4OyH/Bw==" saltValue="ENOAx9QkU44Jv3SuCCZRq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3.5000000000000003E-2</v>
      </c>
      <c r="E2" s="60">
        <f>food_insecure</f>
        <v>3.5000000000000003E-2</v>
      </c>
      <c r="F2" s="60">
        <f>food_insecure</f>
        <v>3.5000000000000003E-2</v>
      </c>
      <c r="G2" s="60">
        <f>food_insecure</f>
        <v>3.5000000000000003E-2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3.5000000000000003E-2</v>
      </c>
      <c r="F5" s="60">
        <f>food_insecure</f>
        <v>3.5000000000000003E-2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3.5000000000000003E-2</v>
      </c>
      <c r="F8" s="60">
        <f>food_insecure</f>
        <v>3.5000000000000003E-2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3.5000000000000003E-2</v>
      </c>
      <c r="F9" s="60">
        <f>food_insecure</f>
        <v>3.5000000000000003E-2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3.5000000000000003E-2</v>
      </c>
      <c r="I15" s="60">
        <f>food_insecure</f>
        <v>3.5000000000000003E-2</v>
      </c>
      <c r="J15" s="60">
        <f>food_insecure</f>
        <v>3.5000000000000003E-2</v>
      </c>
      <c r="K15" s="60">
        <f>food_insecure</f>
        <v>3.5000000000000003E-2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9.5164176589965982E-2</v>
      </c>
      <c r="M25" s="60">
        <f>(1-food_insecure)*(0.49)+food_insecure*(0.7)</f>
        <v>0.49735000000000001</v>
      </c>
      <c r="N25" s="60">
        <f>(1-food_insecure)*(0.49)+food_insecure*(0.7)</f>
        <v>0.49735000000000001</v>
      </c>
      <c r="O25" s="60">
        <f>(1-food_insecure)*(0.49)+food_insecure*(0.7)</f>
        <v>0.49735000000000001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4.0784647109985417E-2</v>
      </c>
      <c r="M26" s="60">
        <f>(1-food_insecure)*(0.21)+food_insecure*(0.3)</f>
        <v>0.21315000000000001</v>
      </c>
      <c r="N26" s="60">
        <f>(1-food_insecure)*(0.21)+food_insecure*(0.3)</f>
        <v>0.21315000000000001</v>
      </c>
      <c r="O26" s="60">
        <f>(1-food_insecure)*(0.21)+food_insecure*(0.3)</f>
        <v>0.21315000000000001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5.5393644561767666E-2</v>
      </c>
      <c r="M27" s="60">
        <f>(1-food_insecure)*(0.3)</f>
        <v>0.28949999999999998</v>
      </c>
      <c r="N27" s="60">
        <f>(1-food_insecure)*(0.3)</f>
        <v>0.28949999999999998</v>
      </c>
      <c r="O27" s="60">
        <f>(1-food_insecure)*(0.3)</f>
        <v>0.28949999999999998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0.80865753173828092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/Iad7XYtXnTMkoy3FRitzLfH+C46sZu9gv88wobp4Hkkc2+TO2BZuqPnlvuqqZZB8Mml0RtlKMC+39RIX1I7lw==" saltValue="q2qWVKnMj6o4ccE2J+zq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oZ2fDsubnsaE9Z3yba6fGvp/HOBlv4v0v8aPB5W19Tb1iuNg3G1w6hZ143KeQAzH56574b4YGQ7bFNbFUhfPQA==" saltValue="JfdLgksMI45hCFzyTqEPg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D4tK0zE1TpmOIA4RyQgey4fmKGKHgIGlTGWvDfCcSG5ia+vWo5pS4qvXwSwDIfG1dmCztuV/Y7qDYytzK0kbkw==" saltValue="Ep+btk1KSP/vcKwMh+Yez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PIbA0HqT/M8YTgbkvslFQuIx3EpJlf10S1o4HkOWJc3AQkdFTnhVU745zZjrw41XQGu3UcxU9n4IQokLrII65w==" saltValue="eG8ubW+SbJ0bw1v9tQBjo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lXtBiAaxQKrJkVwBDTn44Y15c0rSZPfBtxYEjN6CxSzaTsT9IpE5/Zz58fQC8wbcjq0bdLBnyWzFZe6WIDs95Q==" saltValue="XuNjgfZk0VJLN9DSFqvoI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AX95mrP/MydRoiGBLN4/IUJZhcf+4FW71EtaM4ciGbXZQFc8S5VM6uLWOzoUyFTq5+BnJ0dsWEr61MavwaTDXw==" saltValue="RlQkqXG2aLezHL+yk5DPG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179137.54560000001</v>
      </c>
      <c r="C2" s="49">
        <v>498000</v>
      </c>
      <c r="D2" s="49">
        <v>1027000</v>
      </c>
      <c r="E2" s="49">
        <v>12058000</v>
      </c>
      <c r="F2" s="49">
        <v>10671000</v>
      </c>
      <c r="G2" s="17">
        <f t="shared" ref="G2:G11" si="0">C2+D2+E2+F2</f>
        <v>24254000</v>
      </c>
      <c r="H2" s="17">
        <f t="shared" ref="H2:H11" si="1">(B2 + stillbirth*B2/(1000-stillbirth))/(1-abortion)</f>
        <v>204224.01320071711</v>
      </c>
      <c r="I2" s="17">
        <f t="shared" ref="I2:I11" si="2">G2-H2</f>
        <v>24049775.986799281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177216.16959999999</v>
      </c>
      <c r="C3" s="50">
        <v>499000</v>
      </c>
      <c r="D3" s="50">
        <v>1013000</v>
      </c>
      <c r="E3" s="50">
        <v>11838000</v>
      </c>
      <c r="F3" s="50">
        <v>10810000</v>
      </c>
      <c r="G3" s="17">
        <f t="shared" si="0"/>
        <v>24160000</v>
      </c>
      <c r="H3" s="17">
        <f t="shared" si="1"/>
        <v>202033.56721535278</v>
      </c>
      <c r="I3" s="17">
        <f t="shared" si="2"/>
        <v>23957966.432784647</v>
      </c>
    </row>
    <row r="4" spans="1:9" ht="15.75" customHeight="1" x14ac:dyDescent="0.2">
      <c r="A4" s="5">
        <f t="shared" si="3"/>
        <v>2023</v>
      </c>
      <c r="B4" s="49">
        <v>175323.6832</v>
      </c>
      <c r="C4" s="50">
        <v>501000</v>
      </c>
      <c r="D4" s="50">
        <v>1005000</v>
      </c>
      <c r="E4" s="50">
        <v>11511000</v>
      </c>
      <c r="F4" s="50">
        <v>10930000</v>
      </c>
      <c r="G4" s="17">
        <f t="shared" si="0"/>
        <v>23947000</v>
      </c>
      <c r="H4" s="17">
        <f t="shared" si="1"/>
        <v>199876.05653694487</v>
      </c>
      <c r="I4" s="17">
        <f t="shared" si="2"/>
        <v>23747123.943463054</v>
      </c>
    </row>
    <row r="5" spans="1:9" ht="15.75" customHeight="1" x14ac:dyDescent="0.2">
      <c r="A5" s="5">
        <f t="shared" si="3"/>
        <v>2024</v>
      </c>
      <c r="B5" s="49">
        <v>173469.00339999999</v>
      </c>
      <c r="C5" s="50">
        <v>502000</v>
      </c>
      <c r="D5" s="50">
        <v>1000000</v>
      </c>
      <c r="E5" s="50">
        <v>11094000</v>
      </c>
      <c r="F5" s="50">
        <v>11069000</v>
      </c>
      <c r="G5" s="17">
        <f t="shared" si="0"/>
        <v>23665000</v>
      </c>
      <c r="H5" s="17">
        <f t="shared" si="1"/>
        <v>197761.64690444904</v>
      </c>
      <c r="I5" s="17">
        <f t="shared" si="2"/>
        <v>23467238.35309555</v>
      </c>
    </row>
    <row r="6" spans="1:9" ht="15.75" customHeight="1" x14ac:dyDescent="0.2">
      <c r="A6" s="5">
        <f t="shared" si="3"/>
        <v>2025</v>
      </c>
      <c r="B6" s="49">
        <v>171633.35</v>
      </c>
      <c r="C6" s="50">
        <v>499000</v>
      </c>
      <c r="D6" s="50">
        <v>994000</v>
      </c>
      <c r="E6" s="50">
        <v>10599000</v>
      </c>
      <c r="F6" s="50">
        <v>11246000</v>
      </c>
      <c r="G6" s="17">
        <f t="shared" si="0"/>
        <v>23338000</v>
      </c>
      <c r="H6" s="17">
        <f t="shared" si="1"/>
        <v>195668.92813386465</v>
      </c>
      <c r="I6" s="17">
        <f t="shared" si="2"/>
        <v>23142331.071866136</v>
      </c>
    </row>
    <row r="7" spans="1:9" ht="15.75" customHeight="1" x14ac:dyDescent="0.2">
      <c r="A7" s="5">
        <f t="shared" si="3"/>
        <v>2026</v>
      </c>
      <c r="B7" s="49">
        <v>170175.91500000001</v>
      </c>
      <c r="C7" s="50">
        <v>494000</v>
      </c>
      <c r="D7" s="50">
        <v>991000</v>
      </c>
      <c r="E7" s="50">
        <v>10022000</v>
      </c>
      <c r="F7" s="50">
        <v>11435000</v>
      </c>
      <c r="G7" s="17">
        <f t="shared" si="0"/>
        <v>22942000</v>
      </c>
      <c r="H7" s="17">
        <f t="shared" si="1"/>
        <v>194007.39356453542</v>
      </c>
      <c r="I7" s="17">
        <f t="shared" si="2"/>
        <v>22747992.606435463</v>
      </c>
    </row>
    <row r="8" spans="1:9" ht="15.75" customHeight="1" x14ac:dyDescent="0.2">
      <c r="A8" s="5">
        <f t="shared" si="3"/>
        <v>2027</v>
      </c>
      <c r="B8" s="49">
        <v>168724.432</v>
      </c>
      <c r="C8" s="50">
        <v>486000</v>
      </c>
      <c r="D8" s="50">
        <v>989000</v>
      </c>
      <c r="E8" s="50">
        <v>9370000</v>
      </c>
      <c r="F8" s="50">
        <v>11652000</v>
      </c>
      <c r="G8" s="17">
        <f t="shared" si="0"/>
        <v>22497000</v>
      </c>
      <c r="H8" s="17">
        <f t="shared" si="1"/>
        <v>192352.64451480514</v>
      </c>
      <c r="I8" s="17">
        <f t="shared" si="2"/>
        <v>22304647.355485193</v>
      </c>
    </row>
    <row r="9" spans="1:9" ht="15.75" customHeight="1" x14ac:dyDescent="0.2">
      <c r="A9" s="5">
        <f t="shared" si="3"/>
        <v>2028</v>
      </c>
      <c r="B9" s="49">
        <v>167251.682</v>
      </c>
      <c r="C9" s="50">
        <v>477000</v>
      </c>
      <c r="D9" s="50">
        <v>987000</v>
      </c>
      <c r="E9" s="50">
        <v>8696000</v>
      </c>
      <c r="F9" s="50">
        <v>11852000</v>
      </c>
      <c r="G9" s="17">
        <f t="shared" si="0"/>
        <v>22012000</v>
      </c>
      <c r="H9" s="17">
        <f t="shared" si="1"/>
        <v>190673.65022896766</v>
      </c>
      <c r="I9" s="17">
        <f t="shared" si="2"/>
        <v>21821326.349771034</v>
      </c>
    </row>
    <row r="10" spans="1:9" ht="15.75" customHeight="1" x14ac:dyDescent="0.2">
      <c r="A10" s="5">
        <f t="shared" si="3"/>
        <v>2029</v>
      </c>
      <c r="B10" s="49">
        <v>165766.986</v>
      </c>
      <c r="C10" s="50">
        <v>467000</v>
      </c>
      <c r="D10" s="50">
        <v>984000</v>
      </c>
      <c r="E10" s="50">
        <v>8082000</v>
      </c>
      <c r="F10" s="50">
        <v>11971000</v>
      </c>
      <c r="G10" s="17">
        <f t="shared" si="0"/>
        <v>21504000</v>
      </c>
      <c r="H10" s="17">
        <f t="shared" si="1"/>
        <v>188981.03702224157</v>
      </c>
      <c r="I10" s="17">
        <f t="shared" si="2"/>
        <v>21315018.96297776</v>
      </c>
    </row>
    <row r="11" spans="1:9" ht="15.75" customHeight="1" x14ac:dyDescent="0.2">
      <c r="A11" s="5">
        <f t="shared" si="3"/>
        <v>2030</v>
      </c>
      <c r="B11" s="49">
        <v>164261.519</v>
      </c>
      <c r="C11" s="50">
        <v>460000</v>
      </c>
      <c r="D11" s="50">
        <v>980000</v>
      </c>
      <c r="E11" s="50">
        <v>7580000</v>
      </c>
      <c r="F11" s="50">
        <v>11970000</v>
      </c>
      <c r="G11" s="17">
        <f t="shared" si="0"/>
        <v>20990000</v>
      </c>
      <c r="H11" s="17">
        <f t="shared" si="1"/>
        <v>187264.74403937487</v>
      </c>
      <c r="I11" s="17">
        <f t="shared" si="2"/>
        <v>20802735.255960625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PyhBTnVcm3BDsjvlTdvXCT9Y7K8VUxe22q906G6INqVE5hKiZKfoxeloZ4Em3bNsKRMltinnmt5vtBGh/CIj5A==" saltValue="nWU/T5Yrn9PsCUoMD9WsS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0M0/jtx/upGeR5jOcoAULy1earGqfIKK4aJTeVmm8P5+OroS+vRCzgiC3WrKDZPNMSRaDFRXHY23DZnIi/istA==" saltValue="kJlwMO6LjpORkRR2q++HM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Ceav1nWjlBjstaipSMKta+yGl5EEhuQFRjhiLXJ8v6lxQVGh0JhY7Mi6VS09piTclVisrCO0ri4WvL0jXWDByQ==" saltValue="rzvvO/6HDH3SwZd0T9h4Z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xvLcA6CdgKayDMznefaW8KssUMCplDEGFqJ1juCNRHjfGaKBnHEGHrT240JqExfUaB5ELHIywyMT2K85Bz3Syw==" saltValue="dbShQxJfrpIZ6HPmL94UT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2otcr4U1IvA1Zm/Hzzzg/bIJ8RQwUJp8WTe+4h81rTr2zb12uorJyl8N1IrMk5lFdAQcRj5vZyEyZN5/9Ltz/A==" saltValue="z1kxaNMdgdCAY1AHGa9ip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lLgYkVHfgiaVP2bCMI/b79spyNTeA21XelMTLOydmY9GKOjNtxLKQBTtmU7FRs+r+rKmEAGOemtWJUQTpjZsCg==" saltValue="X/lfIL6KDgsOSDrmp9h+9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hcXnfPaKYKyg3Yn5jHfsnBWhGGP7b/W2CmfaVlzqFjezz5Z0cQJQzyyyUitRK5ur/WJswqxuYoZG4c+dzne6qw==" saltValue="NHb5D0uyT1GQbx6yszq67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E27TXQRwLfp3OQ4sIKHN89YIykSWLlbN6IQSJlak/hL5o9t+oqSr+qUJGLDy6VItCsiCtjgxPii8pWxxSGqsmg==" saltValue="hgtkgNkqwb9tI+vnBVVYT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xBU5XW2tsNe677KqCFB33eV7MRuZg+5UqmRcrZmFnExJIwaKVlDFmbP8mrw8VvfniVgga7GEr5mv4W9vPcaIrQ==" saltValue="+5QSyMNYvZgCMZUdeZhy2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H75mHIHeiukkXZrlk2VM+Mrb/FnmwhSX5vVfOh6fzXL3YD8WlXu4b88HlPmpZNha1NIlTNgk2U48CxLRsPxTpQ==" saltValue="BKMOj82HSR3DB9IwbKu+f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1.6926218717804649E-2</v>
      </c>
    </row>
    <row r="5" spans="1:8" ht="15.75" customHeight="1" x14ac:dyDescent="0.2">
      <c r="B5" s="19" t="s">
        <v>80</v>
      </c>
      <c r="C5" s="101">
        <v>0.10869605779531261</v>
      </c>
    </row>
    <row r="6" spans="1:8" ht="15.75" customHeight="1" x14ac:dyDescent="0.2">
      <c r="B6" s="19" t="s">
        <v>81</v>
      </c>
      <c r="C6" s="101">
        <v>5.9248256875466553E-2</v>
      </c>
    </row>
    <row r="7" spans="1:8" ht="15.75" customHeight="1" x14ac:dyDescent="0.2">
      <c r="B7" s="19" t="s">
        <v>82</v>
      </c>
      <c r="C7" s="101">
        <v>0.48224904386075579</v>
      </c>
    </row>
    <row r="8" spans="1:8" ht="15.75" customHeight="1" x14ac:dyDescent="0.2">
      <c r="B8" s="19" t="s">
        <v>83</v>
      </c>
      <c r="C8" s="101">
        <v>0</v>
      </c>
    </row>
    <row r="9" spans="1:8" ht="15.75" customHeight="1" x14ac:dyDescent="0.2">
      <c r="B9" s="19" t="s">
        <v>84</v>
      </c>
      <c r="C9" s="101">
        <v>0.25658968115453301</v>
      </c>
    </row>
    <row r="10" spans="1:8" ht="15.75" customHeight="1" x14ac:dyDescent="0.2">
      <c r="B10" s="19" t="s">
        <v>85</v>
      </c>
      <c r="C10" s="101">
        <v>7.6290741596127407E-2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4.4493219436792207E-3</v>
      </c>
      <c r="D14" s="55">
        <v>4.4493219436792207E-3</v>
      </c>
      <c r="E14" s="55">
        <v>4.4493219436792207E-3</v>
      </c>
      <c r="F14" s="55">
        <v>4.4493219436792207E-3</v>
      </c>
    </row>
    <row r="15" spans="1:8" ht="15.75" customHeight="1" x14ac:dyDescent="0.2">
      <c r="B15" s="19" t="s">
        <v>88</v>
      </c>
      <c r="C15" s="101">
        <v>0.42923262274523261</v>
      </c>
      <c r="D15" s="101">
        <v>0.42923262274523261</v>
      </c>
      <c r="E15" s="101">
        <v>0.42923262274523261</v>
      </c>
      <c r="F15" s="101">
        <v>0.42923262274523261</v>
      </c>
    </row>
    <row r="16" spans="1:8" ht="15.75" customHeight="1" x14ac:dyDescent="0.2">
      <c r="B16" s="19" t="s">
        <v>89</v>
      </c>
      <c r="C16" s="101">
        <v>1.5474074713617079E-2</v>
      </c>
      <c r="D16" s="101">
        <v>1.5474074713617079E-2</v>
      </c>
      <c r="E16" s="101">
        <v>1.5474074713617079E-2</v>
      </c>
      <c r="F16" s="101">
        <v>1.5474074713617079E-2</v>
      </c>
    </row>
    <row r="17" spans="1:8" ht="15.75" customHeight="1" x14ac:dyDescent="0.2">
      <c r="B17" s="19" t="s">
        <v>90</v>
      </c>
      <c r="C17" s="101">
        <v>1.652617985323467E-3</v>
      </c>
      <c r="D17" s="101">
        <v>1.652617985323467E-3</v>
      </c>
      <c r="E17" s="101">
        <v>1.652617985323467E-3</v>
      </c>
      <c r="F17" s="101">
        <v>1.652617985323467E-3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93</v>
      </c>
      <c r="C20" s="101">
        <v>4.1918501917456693E-3</v>
      </c>
      <c r="D20" s="101">
        <v>4.1918501917456693E-3</v>
      </c>
      <c r="E20" s="101">
        <v>4.1918501917456693E-3</v>
      </c>
      <c r="F20" s="101">
        <v>4.1918501917456693E-3</v>
      </c>
    </row>
    <row r="21" spans="1:8" ht="15.75" customHeight="1" x14ac:dyDescent="0.2">
      <c r="B21" s="19" t="s">
        <v>94</v>
      </c>
      <c r="C21" s="101">
        <v>0.14108537254636</v>
      </c>
      <c r="D21" s="101">
        <v>0.14108537254636</v>
      </c>
      <c r="E21" s="101">
        <v>0.14108537254636</v>
      </c>
      <c r="F21" s="101">
        <v>0.14108537254636</v>
      </c>
    </row>
    <row r="22" spans="1:8" ht="15.75" customHeight="1" x14ac:dyDescent="0.2">
      <c r="B22" s="19" t="s">
        <v>95</v>
      </c>
      <c r="C22" s="101">
        <v>0.40391413987404201</v>
      </c>
      <c r="D22" s="101">
        <v>0.40391413987404201</v>
      </c>
      <c r="E22" s="101">
        <v>0.40391413987404201</v>
      </c>
      <c r="F22" s="101">
        <v>0.40391413987404201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7.5198439000000006E-2</v>
      </c>
    </row>
    <row r="27" spans="1:8" ht="15.75" customHeight="1" x14ac:dyDescent="0.2">
      <c r="B27" s="19" t="s">
        <v>102</v>
      </c>
      <c r="C27" s="101">
        <v>5.6785192000000012E-2</v>
      </c>
    </row>
    <row r="28" spans="1:8" ht="15.75" customHeight="1" x14ac:dyDescent="0.2">
      <c r="B28" s="19" t="s">
        <v>103</v>
      </c>
      <c r="C28" s="101">
        <v>0.122549727</v>
      </c>
    </row>
    <row r="29" spans="1:8" ht="15.75" customHeight="1" x14ac:dyDescent="0.2">
      <c r="B29" s="19" t="s">
        <v>104</v>
      </c>
      <c r="C29" s="101">
        <v>8.6248906E-2</v>
      </c>
    </row>
    <row r="30" spans="1:8" ht="15.75" customHeight="1" x14ac:dyDescent="0.2">
      <c r="B30" s="19" t="s">
        <v>2</v>
      </c>
      <c r="C30" s="101">
        <v>6.4099332999999994E-2</v>
      </c>
    </row>
    <row r="31" spans="1:8" ht="15.75" customHeight="1" x14ac:dyDescent="0.2">
      <c r="B31" s="19" t="s">
        <v>105</v>
      </c>
      <c r="C31" s="101">
        <v>0.35120792499999998</v>
      </c>
    </row>
    <row r="32" spans="1:8" ht="15.75" customHeight="1" x14ac:dyDescent="0.2">
      <c r="B32" s="19" t="s">
        <v>106</v>
      </c>
      <c r="C32" s="101">
        <v>0.132871925</v>
      </c>
    </row>
    <row r="33" spans="2:3" ht="15.75" customHeight="1" x14ac:dyDescent="0.2">
      <c r="B33" s="19" t="s">
        <v>107</v>
      </c>
      <c r="C33" s="101">
        <v>4.9043437000000002E-2</v>
      </c>
    </row>
    <row r="34" spans="2:3" ht="15.75" customHeight="1" x14ac:dyDescent="0.2">
      <c r="B34" s="19" t="s">
        <v>108</v>
      </c>
      <c r="C34" s="101">
        <v>6.1995117000000002E-2</v>
      </c>
    </row>
    <row r="35" spans="2:3" ht="15.75" customHeight="1" x14ac:dyDescent="0.2">
      <c r="B35" s="27" t="s">
        <v>41</v>
      </c>
      <c r="C35" s="48">
        <f>SUM(C26:C34)</f>
        <v>1.0000000009999999</v>
      </c>
    </row>
  </sheetData>
  <sheetProtection algorithmName="SHA-512" hashValue="cdHdSEFYAFl+9DQyWyizl0X6CQLhoHy3N6hGkOXai68DnSVRvU+PhDQEysCcr2PoR3y40e/uoxJmNPkJ/sBKKA==" saltValue="6zXJGGMqVBEqcWzFIzW6d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0.58437563457141883</v>
      </c>
      <c r="D2" s="52">
        <f>IFERROR(1-_xlfn.NORM.DIST(_xlfn.NORM.INV(SUM(D4:D5), 0, 1) + 1, 0, 1, TRUE), "")</f>
        <v>0.58457492048436066</v>
      </c>
      <c r="E2" s="52">
        <f>IFERROR(1-_xlfn.NORM.DIST(_xlfn.NORM.INV(SUM(E4:E5), 0, 1) + 1, 0, 1, TRUE), "")</f>
        <v>0.58246549792395419</v>
      </c>
      <c r="F2" s="52">
        <f>IFERROR(1-_xlfn.NORM.DIST(_xlfn.NORM.INV(SUM(F4:F5), 0, 1) + 1, 0, 1, TRUE), "")</f>
        <v>0.50092793318511419</v>
      </c>
      <c r="G2" s="52">
        <f>IFERROR(1-_xlfn.NORM.DIST(_xlfn.NORM.INV(SUM(G4:G5), 0, 1) + 1, 0, 1, TRUE), "")</f>
        <v>0.51589053854357536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0.30307862771519101</v>
      </c>
      <c r="D3" s="52">
        <f>IFERROR(_xlfn.NORM.DIST(_xlfn.NORM.INV(SUM(D4:D5), 0, 1) + 1, 0, 1, TRUE) - SUM(D4:D5), "")</f>
        <v>0.30297699132207184</v>
      </c>
      <c r="E3" s="52">
        <f>IFERROR(_xlfn.NORM.DIST(_xlfn.NORM.INV(SUM(E4:E5), 0, 1) + 1, 0, 1, TRUE) - SUM(E4:E5), "")</f>
        <v>0.30405026808033742</v>
      </c>
      <c r="F3" s="52">
        <f>IFERROR(_xlfn.NORM.DIST(_xlfn.NORM.INV(SUM(F4:F5), 0, 1) + 1, 0, 1, TRUE) - SUM(F4:F5), "")</f>
        <v>0.34097897876232264</v>
      </c>
      <c r="G3" s="52">
        <f>IFERROR(_xlfn.NORM.DIST(_xlfn.NORM.INV(SUM(G4:G5), 0, 1) + 1, 0, 1, TRUE) - SUM(G4:G5), "")</f>
        <v>0.33490285435371436</v>
      </c>
    </row>
    <row r="4" spans="1:15" ht="15.75" customHeight="1" x14ac:dyDescent="0.2">
      <c r="B4" s="5" t="s">
        <v>114</v>
      </c>
      <c r="C4" s="45">
        <v>6.8506343215358007E-2</v>
      </c>
      <c r="D4" s="53">
        <v>6.8506343215358007E-2</v>
      </c>
      <c r="E4" s="53">
        <v>6.0878984057916898E-2</v>
      </c>
      <c r="F4" s="53">
        <v>9.30039194557684E-2</v>
      </c>
      <c r="G4" s="53">
        <v>9.5245285743845595E-2</v>
      </c>
    </row>
    <row r="5" spans="1:15" ht="15.75" customHeight="1" x14ac:dyDescent="0.2">
      <c r="B5" s="5" t="s">
        <v>115</v>
      </c>
      <c r="C5" s="45">
        <v>4.4039394498032201E-2</v>
      </c>
      <c r="D5" s="53">
        <v>4.3941744978209497E-2</v>
      </c>
      <c r="E5" s="53">
        <v>5.2605249937791497E-2</v>
      </c>
      <c r="F5" s="53">
        <v>6.5089168596794797E-2</v>
      </c>
      <c r="G5" s="53">
        <v>5.3961321358864688E-2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0.57831498063356757</v>
      </c>
      <c r="D8" s="52">
        <f>IFERROR(1-_xlfn.NORM.DIST(_xlfn.NORM.INV(SUM(D10:D11), 0, 1) + 1, 0, 1, TRUE), "")</f>
        <v>0.57831498063356757</v>
      </c>
      <c r="E8" s="52">
        <f>IFERROR(1-_xlfn.NORM.DIST(_xlfn.NORM.INV(SUM(E10:E11), 0, 1) + 1, 0, 1, TRUE), "")</f>
        <v>0.7072874761722443</v>
      </c>
      <c r="F8" s="52">
        <f>IFERROR(1-_xlfn.NORM.DIST(_xlfn.NORM.INV(SUM(F10:F11), 0, 1) + 1, 0, 1, TRUE), "")</f>
        <v>0.79100277724113255</v>
      </c>
      <c r="G8" s="52">
        <f>IFERROR(1-_xlfn.NORM.DIST(_xlfn.NORM.INV(SUM(G10:G11), 0, 1) + 1, 0, 1, TRUE), "")</f>
        <v>0.80908093685773375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0.30614564363728841</v>
      </c>
      <c r="D9" s="52">
        <f>IFERROR(_xlfn.NORM.DIST(_xlfn.NORM.INV(SUM(D10:D11), 0, 1) + 1, 0, 1, TRUE) - SUM(D10:D11), "")</f>
        <v>0.30614564363728841</v>
      </c>
      <c r="E9" s="52">
        <f>IFERROR(_xlfn.NORM.DIST(_xlfn.NORM.INV(SUM(E10:E11), 0, 1) + 1, 0, 1, TRUE) - SUM(E10:E11), "")</f>
        <v>0.23159713845068106</v>
      </c>
      <c r="F9" s="52">
        <f>IFERROR(_xlfn.NORM.DIST(_xlfn.NORM.INV(SUM(F10:F11), 0, 1) + 1, 0, 1, TRUE) - SUM(F10:F11), "")</f>
        <v>0.17384200729234547</v>
      </c>
      <c r="G9" s="52">
        <f>IFERROR(_xlfn.NORM.DIST(_xlfn.NORM.INV(SUM(G10:G11), 0, 1) + 1, 0, 1, TRUE) - SUM(G10:G11), "")</f>
        <v>0.16048929055437519</v>
      </c>
    </row>
    <row r="10" spans="1:15" ht="15.75" customHeight="1" x14ac:dyDescent="0.2">
      <c r="B10" s="5" t="s">
        <v>119</v>
      </c>
      <c r="C10" s="45">
        <v>7.0007490607840603E-2</v>
      </c>
      <c r="D10" s="53">
        <v>7.0007490607840603E-2</v>
      </c>
      <c r="E10" s="53">
        <v>4.0488959954615197E-2</v>
      </c>
      <c r="F10" s="53">
        <v>2.16110665718461E-2</v>
      </c>
      <c r="G10" s="53">
        <v>1.8143644083632001E-2</v>
      </c>
    </row>
    <row r="11" spans="1:15" ht="15.75" customHeight="1" x14ac:dyDescent="0.2">
      <c r="B11" s="5" t="s">
        <v>120</v>
      </c>
      <c r="C11" s="45">
        <v>4.5531885121303413E-2</v>
      </c>
      <c r="D11" s="53">
        <v>4.5531885121303413E-2</v>
      </c>
      <c r="E11" s="53">
        <v>2.0626425422459502E-2</v>
      </c>
      <c r="F11" s="53">
        <v>1.35441488946759E-2</v>
      </c>
      <c r="G11" s="53">
        <v>1.22861285042591E-2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0.57073461624999999</v>
      </c>
      <c r="D14" s="54">
        <v>0.56424493110999996</v>
      </c>
      <c r="E14" s="54">
        <v>0.56424493110999996</v>
      </c>
      <c r="F14" s="54">
        <v>0.275576724198</v>
      </c>
      <c r="G14" s="54">
        <v>0.275576724198</v>
      </c>
      <c r="H14" s="45">
        <v>0.27400000000000002</v>
      </c>
      <c r="I14" s="55">
        <v>0.27400000000000002</v>
      </c>
      <c r="J14" s="55">
        <v>0.27400000000000002</v>
      </c>
      <c r="K14" s="55">
        <v>0.27400000000000002</v>
      </c>
      <c r="L14" s="45">
        <v>0.26700000000000002</v>
      </c>
      <c r="M14" s="55">
        <v>0.26700000000000002</v>
      </c>
      <c r="N14" s="55">
        <v>0.26700000000000002</v>
      </c>
      <c r="O14" s="55">
        <v>0.26700000000000002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0.35867874031692876</v>
      </c>
      <c r="D15" s="52">
        <f t="shared" si="0"/>
        <v>0.35460029120101055</v>
      </c>
      <c r="E15" s="52">
        <f t="shared" si="0"/>
        <v>0.35460029120101055</v>
      </c>
      <c r="F15" s="52">
        <f t="shared" si="0"/>
        <v>0.17318646789895728</v>
      </c>
      <c r="G15" s="52">
        <f t="shared" si="0"/>
        <v>0.17318646789895728</v>
      </c>
      <c r="H15" s="52">
        <f t="shared" si="0"/>
        <v>0.17219557400000002</v>
      </c>
      <c r="I15" s="52">
        <f t="shared" si="0"/>
        <v>0.17219557400000002</v>
      </c>
      <c r="J15" s="52">
        <f t="shared" si="0"/>
        <v>0.17219557400000002</v>
      </c>
      <c r="K15" s="52">
        <f t="shared" si="0"/>
        <v>0.17219557400000002</v>
      </c>
      <c r="L15" s="52">
        <f t="shared" si="0"/>
        <v>0.167796417</v>
      </c>
      <c r="M15" s="52">
        <f t="shared" si="0"/>
        <v>0.167796417</v>
      </c>
      <c r="N15" s="52">
        <f t="shared" si="0"/>
        <v>0.167796417</v>
      </c>
      <c r="O15" s="52">
        <f t="shared" si="0"/>
        <v>0.167796417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UTOlcYYJl5lzBtPbQi7jauwErQKi6zwDItbRdI2Ug9vG+Jb2E4ihTrvhVJAFtwYcn009d/bTb5SAw2dCXycr8g==" saltValue="mEJP7mkRjoZL5jt99OVUV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0.43501501852123098</v>
      </c>
      <c r="D2" s="53">
        <v>0.23498266272916701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0.2763713716074</v>
      </c>
      <c r="D3" s="53">
        <v>0.288356971458333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0.208402150173296</v>
      </c>
      <c r="D4" s="53">
        <v>0.32155992791666699</v>
      </c>
      <c r="E4" s="53">
        <v>0.67901725684710901</v>
      </c>
      <c r="F4" s="53">
        <v>0.33638759210421898</v>
      </c>
      <c r="G4" s="53">
        <v>0</v>
      </c>
    </row>
    <row r="5" spans="1:7" x14ac:dyDescent="0.2">
      <c r="B5" s="3" t="s">
        <v>132</v>
      </c>
      <c r="C5" s="52">
        <v>8.0177836077641909E-2</v>
      </c>
      <c r="D5" s="52">
        <v>0.15519734193479201</v>
      </c>
      <c r="E5" s="52">
        <f>1-SUM(E2:E4)</f>
        <v>0.32098274315289099</v>
      </c>
      <c r="F5" s="52">
        <f>1-SUM(F2:F4)</f>
        <v>0.66361240789578102</v>
      </c>
      <c r="G5" s="52">
        <f>1-SUM(G2:G4)</f>
        <v>1</v>
      </c>
    </row>
  </sheetData>
  <sheetProtection algorithmName="SHA-512" hashValue="SI4gAXocSzWpbelRX+8N0F7OTSEr4ckW9/4HGcoTF0CKJY/9CcKM9R6OuTP2FlkHmTycENc4r/UjltigOC8O8Q==" saltValue="WgZvjxyzhIOIB5li7n0xW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7FsFAoBnHf84sQA0sTVr+GLv06m05Y+fFrxVr3SfbO98jY6p0fi27XfIsrEVBuIOLQWTD4OzyI5NCAoD8QeAFg==" saltValue="koikF4yhN2zTuWTKT0Rzm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hZprBem3URguUtDwAn0lCET93xrQrbGqtOc5VV9ftSAtg/AmxtjnjM8vff8HjQ8A4FnLh+yVi2oDvW43UcvWlw==" saltValue="uH52n3Jby0LRdUv+7zSsT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949rGl0cP2klY5ATAl/ZolhRLG89ZpHoFGxdHg2TBiGBhQHzDhzXOu4lIsw98e5Ebo3/KuieFT/rxidB9V7/SA==" saltValue="/kipu6oJQj38cBP/58WGc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g4leBYJ8/aIY8BtRXpHGuEH4smfmC5s01N1Tihxn+JtaYEIpClqFF5Vp3fwknt11PbNzlNH7IV/Cw/NfQ7+/Qg==" saltValue="wo3Tb08Xwpw8ROk1KDT8Q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2023-01-27T03:37:31Z</dcterms:modified>
</cp:coreProperties>
</file>