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C37C9DE5-3A60-42E2-ACC8-B59F94E8FA4D}" xr6:coauthVersionLast="45" xr6:coauthVersionMax="45" xr10:uidLastSave="{00000000-0000-0000-0000-000000000000}"/>
  <bookViews>
    <workbookView xWindow="7320" yWindow="-18270" windowWidth="29040" windowHeight="176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<sst xmlns="http://schemas.openxmlformats.org/spreadsheetml/2006/main" count="1109" uniqueCount="272">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</sst>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32378335</v>
      </c>
    </row>
    <row r="8" spans="1:3" ht="15" customHeight="1">
      <c r="B8" s="7" t="s">
        <v>106</v>
      </c>
      <c r="C8" s="66">
        <v>0.53469999999999995</v>
      </c>
    </row>
    <row r="9" spans="1:3" ht="15" customHeight="1">
      <c r="B9" s="9" t="s">
        <v>107</v>
      </c>
      <c r="C9" s="67">
        <v>0.99</v>
      </c>
    </row>
    <row r="10" spans="1:3" ht="15" customHeight="1">
      <c r="B10" s="9" t="s">
        <v>105</v>
      </c>
      <c r="C10" s="67">
        <v>0.32603321080000003</v>
      </c>
    </row>
    <row r="11" spans="1:3" ht="15" customHeight="1">
      <c r="B11" s="7" t="s">
        <v>108</v>
      </c>
      <c r="C11" s="66">
        <v>0.51100000000000001</v>
      </c>
    </row>
    <row r="12" spans="1:3" ht="15" customHeight="1">
      <c r="B12" s="7" t="s">
        <v>109</v>
      </c>
      <c r="C12" s="66">
        <v>0.23699999999999999</v>
      </c>
    </row>
    <row r="13" spans="1:3" ht="15" customHeight="1">
      <c r="B13" s="7" t="s">
        <v>110</v>
      </c>
      <c r="C13" s="66">
        <v>0.73699999999999999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9.9700000000000011E-2</v>
      </c>
    </row>
    <row r="24" spans="1:3" ht="15" customHeight="1">
      <c r="B24" s="20" t="s">
        <v>102</v>
      </c>
      <c r="C24" s="67">
        <v>0.43430000000000002</v>
      </c>
    </row>
    <row r="25" spans="1:3" ht="15" customHeight="1">
      <c r="B25" s="20" t="s">
        <v>103</v>
      </c>
      <c r="C25" s="67">
        <v>0.35899999999999999</v>
      </c>
    </row>
    <row r="26" spans="1:3" ht="15" customHeight="1">
      <c r="B26" s="20" t="s">
        <v>104</v>
      </c>
      <c r="C26" s="67">
        <v>0.107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0.193</v>
      </c>
    </row>
    <row r="30" spans="1:3" ht="14.25" customHeight="1">
      <c r="B30" s="30" t="s">
        <v>76</v>
      </c>
      <c r="C30" s="69">
        <v>6.3E-2</v>
      </c>
    </row>
    <row r="31" spans="1:3" ht="14.25" customHeight="1">
      <c r="B31" s="30" t="s">
        <v>77</v>
      </c>
      <c r="C31" s="69">
        <v>0.157</v>
      </c>
    </row>
    <row r="32" spans="1:3" ht="14.25" customHeight="1">
      <c r="B32" s="30" t="s">
        <v>78</v>
      </c>
      <c r="C32" s="69">
        <v>0.58700000000000008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32.9</v>
      </c>
    </row>
    <row r="38" spans="1:5" ht="15" customHeight="1">
      <c r="B38" s="16" t="s">
        <v>91</v>
      </c>
      <c r="C38" s="68">
        <v>64.599999999999994</v>
      </c>
      <c r="D38" s="17"/>
      <c r="E38" s="18"/>
    </row>
    <row r="39" spans="1:5" ht="15" customHeight="1">
      <c r="B39" s="16" t="s">
        <v>90</v>
      </c>
      <c r="C39" s="68">
        <v>100.2</v>
      </c>
      <c r="D39" s="17"/>
      <c r="E39" s="17"/>
    </row>
    <row r="40" spans="1:5" ht="15" customHeight="1">
      <c r="B40" s="16" t="s">
        <v>171</v>
      </c>
      <c r="C40" s="68">
        <v>8.14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42.9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1.9599999999999999E-2</v>
      </c>
      <c r="D45" s="17"/>
    </row>
    <row r="46" spans="1:5" ht="15.75" customHeight="1">
      <c r="B46" s="16" t="s">
        <v>11</v>
      </c>
      <c r="C46" s="67">
        <v>0.1026</v>
      </c>
      <c r="D46" s="17"/>
    </row>
    <row r="47" spans="1:5" ht="15.75" customHeight="1">
      <c r="B47" s="16" t="s">
        <v>12</v>
      </c>
      <c r="C47" s="67">
        <v>0.21789999999999998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0.65990000000000004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2.5781479612874998</v>
      </c>
      <c r="D51" s="17"/>
    </row>
    <row r="52" spans="1:4" ht="15" customHeight="1">
      <c r="B52" s="16" t="s">
        <v>125</v>
      </c>
      <c r="C52" s="65">
        <v>2.58177530134</v>
      </c>
    </row>
    <row r="53" spans="1:4" ht="15.75" customHeight="1">
      <c r="B53" s="16" t="s">
        <v>126</v>
      </c>
      <c r="C53" s="65">
        <v>2.58177530134</v>
      </c>
    </row>
    <row r="54" spans="1:4" ht="15.75" customHeight="1">
      <c r="B54" s="16" t="s">
        <v>127</v>
      </c>
      <c r="C54" s="65">
        <v>1.6825661775899998</v>
      </c>
    </row>
    <row r="55" spans="1:4" ht="15.75" customHeight="1">
      <c r="B55" s="16" t="s">
        <v>128</v>
      </c>
      <c r="C55" s="65">
        <v>1.6825661775899998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0.37552984968011105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2.5781479612874998</v>
      </c>
      <c r="C2" s="26">
        <f>'Baseline year population inputs'!C52</f>
        <v>2.58177530134</v>
      </c>
      <c r="D2" s="26">
        <f>'Baseline year population inputs'!C53</f>
        <v>2.58177530134</v>
      </c>
      <c r="E2" s="26">
        <f>'Baseline year population inputs'!C54</f>
        <v>1.6825661775899998</v>
      </c>
      <c r="F2" s="26">
        <f>'Baseline year population inputs'!C55</f>
        <v>1.6825661775899998</v>
      </c>
    </row>
    <row r="3" spans="1:6" ht="15.75" customHeight="1">
      <c r="A3" s="3" t="s">
        <v>65</v>
      </c>
      <c r="B3" s="26">
        <f>frac_mam_1month * 2.6</f>
        <v>0.24388000000000004</v>
      </c>
      <c r="C3" s="26">
        <f>frac_mam_1_5months * 2.6</f>
        <v>0.24388000000000004</v>
      </c>
      <c r="D3" s="26">
        <f>frac_mam_6_11months * 2.6</f>
        <v>0.36296</v>
      </c>
      <c r="E3" s="26">
        <f>frac_mam_12_23months * 2.6</f>
        <v>0.34528000000000003</v>
      </c>
      <c r="F3" s="26">
        <f>frac_mam_24_59months * 2.6</f>
        <v>0.12844000000000003</v>
      </c>
    </row>
    <row r="4" spans="1:6" ht="15.75" customHeight="1">
      <c r="A4" s="3" t="s">
        <v>66</v>
      </c>
      <c r="B4" s="26">
        <f>frac_sam_1month * 2.6</f>
        <v>0.14248</v>
      </c>
      <c r="C4" s="26">
        <f>frac_sam_1_5months * 2.6</f>
        <v>0.14248</v>
      </c>
      <c r="D4" s="26">
        <f>frac_sam_6_11months * 2.6</f>
        <v>0.13026000000000001</v>
      </c>
      <c r="E4" s="26">
        <f>frac_sam_12_23months * 2.6</f>
        <v>0.11986000000000001</v>
      </c>
      <c r="F4" s="26">
        <f>frac_sam_24_59months * 2.6</f>
        <v>4.2380000000000001E-2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0.53469999999999995</v>
      </c>
      <c r="E2" s="93">
        <f>food_insecure</f>
        <v>0.53469999999999995</v>
      </c>
      <c r="F2" s="93">
        <f>food_insecure</f>
        <v>0.53469999999999995</v>
      </c>
      <c r="G2" s="93">
        <f>food_insecure</f>
        <v>0.53469999999999995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0.53469999999999995</v>
      </c>
      <c r="F5" s="93">
        <f>food_insecure</f>
        <v>0.53469999999999995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2.5781479612874998</v>
      </c>
      <c r="D7" s="93">
        <f>diarrhoea_1_5mo</f>
        <v>2.58177530134</v>
      </c>
      <c r="E7" s="93">
        <f>diarrhoea_6_11mo</f>
        <v>2.58177530134</v>
      </c>
      <c r="F7" s="93">
        <f>diarrhoea_12_23mo</f>
        <v>1.6825661775899998</v>
      </c>
      <c r="G7" s="93">
        <f>diarrhoea_24_59mo</f>
        <v>1.6825661775899998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0.53469999999999995</v>
      </c>
      <c r="F8" s="93">
        <f>food_insecure</f>
        <v>0.53469999999999995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2.5781479612874998</v>
      </c>
      <c r="D12" s="93">
        <f>diarrhoea_1_5mo</f>
        <v>2.58177530134</v>
      </c>
      <c r="E12" s="93">
        <f>diarrhoea_6_11mo</f>
        <v>2.58177530134</v>
      </c>
      <c r="F12" s="93">
        <f>diarrhoea_12_23mo</f>
        <v>1.6825661775899998</v>
      </c>
      <c r="G12" s="93">
        <f>diarrhoea_24_59mo</f>
        <v>1.6825661775899998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0.53469999999999995</v>
      </c>
      <c r="I15" s="93">
        <f>food_insecure</f>
        <v>0.53469999999999995</v>
      </c>
      <c r="J15" s="93">
        <f>food_insecure</f>
        <v>0.53469999999999995</v>
      </c>
      <c r="K15" s="93">
        <f>food_insecure</f>
        <v>0.53469999999999995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0.51100000000000001</v>
      </c>
      <c r="I18" s="93">
        <f>frac_PW_health_facility</f>
        <v>0.51100000000000001</v>
      </c>
      <c r="J18" s="93">
        <f>frac_PW_health_facility</f>
        <v>0.51100000000000001</v>
      </c>
      <c r="K18" s="93">
        <f>frac_PW_health_facility</f>
        <v>0.51100000000000001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0.99</v>
      </c>
      <c r="I19" s="93">
        <f>frac_malaria_risk</f>
        <v>0.99</v>
      </c>
      <c r="J19" s="93">
        <f>frac_malaria_risk</f>
        <v>0.99</v>
      </c>
      <c r="K19" s="93">
        <f>frac_malaria_risk</f>
        <v>0.99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0.73699999999999999</v>
      </c>
      <c r="M24" s="93">
        <f>famplan_unmet_need</f>
        <v>0.73699999999999999</v>
      </c>
      <c r="N24" s="93">
        <f>famplan_unmet_need</f>
        <v>0.73699999999999999</v>
      </c>
      <c r="O24" s="93">
        <f>famplan_unmet_need</f>
        <v>0.73699999999999999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0.4059214355669003</v>
      </c>
      <c r="M25" s="93">
        <f>(1-food_insecure)*(0.49)+food_insecure*(0.7)</f>
        <v>0.60228700000000002</v>
      </c>
      <c r="N25" s="93">
        <f>(1-food_insecure)*(0.49)+food_insecure*(0.7)</f>
        <v>0.60228700000000002</v>
      </c>
      <c r="O25" s="93">
        <f>(1-food_insecure)*(0.49)+food_insecure*(0.7)</f>
        <v>0.60228700000000002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0.17396632952867158</v>
      </c>
      <c r="M26" s="93">
        <f>(1-food_insecure)*(0.21)+food_insecure*(0.3)</f>
        <v>0.25812299999999999</v>
      </c>
      <c r="N26" s="93">
        <f>(1-food_insecure)*(0.21)+food_insecure*(0.3)</f>
        <v>0.25812299999999999</v>
      </c>
      <c r="O26" s="93">
        <f>(1-food_insecure)*(0.21)+food_insecure*(0.3)</f>
        <v>0.25812299999999999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9.4079024104428005E-2</v>
      </c>
      <c r="M27" s="93">
        <f>(1-food_insecure)*(0.3)</f>
        <v>0.13959000000000002</v>
      </c>
      <c r="N27" s="93">
        <f>(1-food_insecure)*(0.3)</f>
        <v>0.13959000000000002</v>
      </c>
      <c r="O27" s="93">
        <f>(1-food_insecure)*(0.3)</f>
        <v>0.13959000000000002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0.99</v>
      </c>
      <c r="D34" s="93">
        <f t="shared" si="3"/>
        <v>0.99</v>
      </c>
      <c r="E34" s="93">
        <f t="shared" si="3"/>
        <v>0.99</v>
      </c>
      <c r="F34" s="93">
        <f t="shared" si="3"/>
        <v>0.99</v>
      </c>
      <c r="G34" s="93">
        <f t="shared" si="3"/>
        <v>0.99</v>
      </c>
      <c r="H34" s="93">
        <f t="shared" si="3"/>
        <v>0.99</v>
      </c>
      <c r="I34" s="93">
        <f t="shared" si="3"/>
        <v>0.99</v>
      </c>
      <c r="J34" s="93">
        <f t="shared" si="3"/>
        <v>0.99</v>
      </c>
      <c r="K34" s="93">
        <f t="shared" si="3"/>
        <v>0.99</v>
      </c>
      <c r="L34" s="93">
        <f t="shared" si="3"/>
        <v>0.99</v>
      </c>
      <c r="M34" s="93">
        <f t="shared" si="3"/>
        <v>0.99</v>
      </c>
      <c r="N34" s="93">
        <f t="shared" si="3"/>
        <v>0.99</v>
      </c>
      <c r="O34" s="93">
        <f t="shared" si="3"/>
        <v>0.99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>
        <v>7416073</v>
      </c>
      <c r="C2" s="75">
        <v>10766000</v>
      </c>
      <c r="D2" s="75">
        <v>16354000</v>
      </c>
      <c r="E2" s="75">
        <v>12016000</v>
      </c>
      <c r="F2" s="75">
        <v>8447000</v>
      </c>
      <c r="G2" s="22">
        <f t="shared" ref="G2:G40" si="0">C2+D2+E2+F2</f>
        <v>47583000</v>
      </c>
      <c r="H2" s="22">
        <f t="shared" ref="H2:H40" si="1">(B2 + stillbirth*B2/(1000-stillbirth))/(1-abortion)</f>
        <v>8906302.2036155667</v>
      </c>
      <c r="I2" s="22">
        <f>G2-H2</f>
        <v>38676697.796384431</v>
      </c>
    </row>
    <row r="3" spans="1:9" ht="15.75" customHeight="1">
      <c r="A3" s="92">
        <f t="shared" ref="A3:A40" si="2">IF($A$2+ROW(A3)-2&lt;=end_year,A2+1,"")</f>
        <v>2020</v>
      </c>
      <c r="B3" s="74">
        <v>7530454</v>
      </c>
      <c r="C3" s="75">
        <v>11086000</v>
      </c>
      <c r="D3" s="75">
        <v>16845000</v>
      </c>
      <c r="E3" s="75">
        <v>12281000</v>
      </c>
      <c r="F3" s="75">
        <v>8730000</v>
      </c>
      <c r="G3" s="22">
        <f t="shared" si="0"/>
        <v>48942000</v>
      </c>
      <c r="H3" s="22">
        <f t="shared" si="1"/>
        <v>9043667.5925959293</v>
      </c>
      <c r="I3" s="22">
        <f t="shared" ref="I3:I15" si="3">G3-H3</f>
        <v>39898332.407404073</v>
      </c>
    </row>
    <row r="4" spans="1:9" ht="15.75" customHeight="1">
      <c r="A4" s="92">
        <f t="shared" si="2"/>
        <v>2021</v>
      </c>
      <c r="B4" s="74">
        <v>7674755</v>
      </c>
      <c r="C4" s="75">
        <v>11406000</v>
      </c>
      <c r="D4" s="75">
        <v>17372000</v>
      </c>
      <c r="E4" s="75">
        <v>12545000</v>
      </c>
      <c r="F4" s="75">
        <v>9016000</v>
      </c>
      <c r="G4" s="22">
        <f t="shared" si="0"/>
        <v>50339000</v>
      </c>
      <c r="H4" s="22">
        <f t="shared" si="1"/>
        <v>9216965.2818559892</v>
      </c>
      <c r="I4" s="22">
        <f t="shared" si="3"/>
        <v>41122034.718144014</v>
      </c>
    </row>
    <row r="5" spans="1:9" ht="15.75" customHeight="1">
      <c r="A5" s="92">
        <f t="shared" si="2"/>
        <v>2022</v>
      </c>
      <c r="B5" s="74">
        <v>7801971</v>
      </c>
      <c r="C5" s="75">
        <v>11730000</v>
      </c>
      <c r="D5" s="75">
        <v>17928000</v>
      </c>
      <c r="E5" s="75">
        <v>12818000</v>
      </c>
      <c r="F5" s="75">
        <v>9304000</v>
      </c>
      <c r="G5" s="22">
        <f t="shared" si="0"/>
        <v>51780000</v>
      </c>
      <c r="H5" s="22">
        <f t="shared" si="1"/>
        <v>9369744.8110131528</v>
      </c>
      <c r="I5" s="22">
        <f t="shared" si="3"/>
        <v>42410255.188986845</v>
      </c>
    </row>
    <row r="6" spans="1:9" ht="15.75" customHeight="1">
      <c r="A6" s="92" t="str">
        <f t="shared" si="2"/>
        <v/>
      </c>
      <c r="B6" s="74">
        <v>8090224.4996000016</v>
      </c>
      <c r="C6" s="75">
        <v>12065000</v>
      </c>
      <c r="D6" s="75">
        <v>18513000</v>
      </c>
      <c r="E6" s="75">
        <v>13108000</v>
      </c>
      <c r="F6" s="75">
        <v>9589000</v>
      </c>
      <c r="G6" s="22">
        <f t="shared" si="0"/>
        <v>53275000</v>
      </c>
      <c r="H6" s="22">
        <f t="shared" si="1"/>
        <v>9715921.6594189592</v>
      </c>
      <c r="I6" s="22">
        <f t="shared" si="3"/>
        <v>43559078.340581045</v>
      </c>
    </row>
    <row r="7" spans="1:9" ht="15.75" customHeight="1">
      <c r="A7" s="92" t="str">
        <f t="shared" si="2"/>
        <v/>
      </c>
      <c r="B7" s="74">
        <v>8203757.6599999992</v>
      </c>
      <c r="C7" s="75">
        <v>12410000</v>
      </c>
      <c r="D7" s="75">
        <v>19121000</v>
      </c>
      <c r="E7" s="75">
        <v>13422000</v>
      </c>
      <c r="F7" s="75">
        <v>9870000</v>
      </c>
      <c r="G7" s="22">
        <f t="shared" si="0"/>
        <v>54823000</v>
      </c>
      <c r="H7" s="22">
        <f t="shared" si="1"/>
        <v>9852268.8389375471</v>
      </c>
      <c r="I7" s="22">
        <f t="shared" si="3"/>
        <v>44970731.161062449</v>
      </c>
    </row>
    <row r="8" spans="1:9" ht="15.75" customHeight="1">
      <c r="A8" s="92" t="str">
        <f t="shared" si="2"/>
        <v/>
      </c>
      <c r="B8" s="74">
        <v>8327290.5539999986</v>
      </c>
      <c r="C8" s="75">
        <v>12740000</v>
      </c>
      <c r="D8" s="75">
        <v>19735000</v>
      </c>
      <c r="E8" s="75">
        <v>13753000</v>
      </c>
      <c r="F8" s="75">
        <v>10136000</v>
      </c>
      <c r="G8" s="22">
        <f t="shared" si="0"/>
        <v>56364000</v>
      </c>
      <c r="H8" s="22">
        <f t="shared" si="1"/>
        <v>10000625.15717379</v>
      </c>
      <c r="I8" s="22">
        <f t="shared" si="3"/>
        <v>46363374.84282621</v>
      </c>
    </row>
    <row r="9" spans="1:9" ht="15.75" customHeight="1">
      <c r="A9" s="92" t="str">
        <f t="shared" si="2"/>
        <v/>
      </c>
      <c r="B9" s="74">
        <v>8450801.9333999995</v>
      </c>
      <c r="C9" s="75">
        <v>13081000</v>
      </c>
      <c r="D9" s="75">
        <v>20371000</v>
      </c>
      <c r="E9" s="75">
        <v>14110000</v>
      </c>
      <c r="F9" s="75">
        <v>10403000</v>
      </c>
      <c r="G9" s="22">
        <f t="shared" si="0"/>
        <v>57965000</v>
      </c>
      <c r="H9" s="22">
        <f t="shared" si="1"/>
        <v>10148955.637540126</v>
      </c>
      <c r="I9" s="22">
        <f t="shared" si="3"/>
        <v>47816044.362459876</v>
      </c>
    </row>
    <row r="10" spans="1:9" ht="15.75" customHeight="1">
      <c r="A10" s="92" t="str">
        <f t="shared" si="2"/>
        <v/>
      </c>
      <c r="B10" s="74">
        <v>8574242.4575999975</v>
      </c>
      <c r="C10" s="75">
        <v>13429000</v>
      </c>
      <c r="D10" s="75">
        <v>21021000</v>
      </c>
      <c r="E10" s="75">
        <v>14497000</v>
      </c>
      <c r="F10" s="75">
        <v>10668000</v>
      </c>
      <c r="G10" s="22">
        <f t="shared" si="0"/>
        <v>59615000</v>
      </c>
      <c r="H10" s="22">
        <f t="shared" si="1"/>
        <v>10297201.02464701</v>
      </c>
      <c r="I10" s="22">
        <f t="shared" si="3"/>
        <v>49317798.975352988</v>
      </c>
    </row>
    <row r="11" spans="1:9" ht="15.75" customHeight="1">
      <c r="A11" s="92" t="str">
        <f t="shared" si="2"/>
        <v/>
      </c>
      <c r="B11" s="74">
        <v>8697458.833399998</v>
      </c>
      <c r="C11" s="75">
        <v>13772000</v>
      </c>
      <c r="D11" s="75">
        <v>21683000</v>
      </c>
      <c r="E11" s="75">
        <v>14917000</v>
      </c>
      <c r="F11" s="75">
        <v>10932000</v>
      </c>
      <c r="G11" s="22">
        <f t="shared" si="0"/>
        <v>61304000</v>
      </c>
      <c r="H11" s="22">
        <f t="shared" si="1"/>
        <v>10445177.221659776</v>
      </c>
      <c r="I11" s="22">
        <f t="shared" si="3"/>
        <v>50858822.77834022</v>
      </c>
    </row>
    <row r="12" spans="1:9" ht="15.75" customHeight="1">
      <c r="A12" s="92" t="str">
        <f t="shared" si="2"/>
        <v/>
      </c>
      <c r="B12" s="74">
        <v>8820399.3359999992</v>
      </c>
      <c r="C12" s="75">
        <v>14100000</v>
      </c>
      <c r="D12" s="75">
        <v>22354000</v>
      </c>
      <c r="E12" s="75">
        <v>15373000</v>
      </c>
      <c r="F12" s="75">
        <v>11198000</v>
      </c>
      <c r="G12" s="22">
        <f t="shared" si="0"/>
        <v>63025000</v>
      </c>
      <c r="H12" s="22">
        <f t="shared" si="1"/>
        <v>10592822.109893752</v>
      </c>
      <c r="I12" s="22">
        <f t="shared" si="3"/>
        <v>52432177.890106246</v>
      </c>
    </row>
    <row r="13" spans="1:9" ht="15.75" customHeight="1">
      <c r="A13" s="92" t="str">
        <f t="shared" si="2"/>
        <v/>
      </c>
      <c r="B13" s="74">
        <v>10428000</v>
      </c>
      <c r="C13" s="75">
        <v>15895000</v>
      </c>
      <c r="D13" s="75">
        <v>11753000</v>
      </c>
      <c r="E13" s="75">
        <v>8162000</v>
      </c>
      <c r="F13" s="75">
        <v>5.1125993749999994E-2</v>
      </c>
      <c r="G13" s="22">
        <f t="shared" si="0"/>
        <v>35810000.051125996</v>
      </c>
      <c r="H13" s="22">
        <f t="shared" si="1"/>
        <v>12523463.479836719</v>
      </c>
      <c r="I13" s="22">
        <f t="shared" si="3"/>
        <v>23286536.571289279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5.1125993749999994E-2</v>
      </c>
    </row>
    <row r="4" spans="1:8" ht="15.75" customHeight="1">
      <c r="B4" s="24" t="s">
        <v>7</v>
      </c>
      <c r="C4" s="76">
        <v>0.16113423460685369</v>
      </c>
    </row>
    <row r="5" spans="1:8" ht="15.75" customHeight="1">
      <c r="B5" s="24" t="s">
        <v>8</v>
      </c>
      <c r="C5" s="76">
        <v>0.26091028923218451</v>
      </c>
    </row>
    <row r="6" spans="1:8" ht="15.75" customHeight="1">
      <c r="B6" s="24" t="s">
        <v>10</v>
      </c>
      <c r="C6" s="76">
        <v>0.12956906961165318</v>
      </c>
    </row>
    <row r="7" spans="1:8" ht="15.75" customHeight="1">
      <c r="B7" s="24" t="s">
        <v>13</v>
      </c>
      <c r="C7" s="76">
        <v>0.10160715094215632</v>
      </c>
    </row>
    <row r="8" spans="1:8" ht="15.75" customHeight="1">
      <c r="B8" s="24" t="s">
        <v>14</v>
      </c>
      <c r="C8" s="76">
        <v>1.2935998831485168E-2</v>
      </c>
    </row>
    <row r="9" spans="1:8" ht="15.75" customHeight="1">
      <c r="B9" s="24" t="s">
        <v>27</v>
      </c>
      <c r="C9" s="76">
        <v>5.0016479395537619E-2</v>
      </c>
    </row>
    <row r="10" spans="1:8" ht="15.75" customHeight="1">
      <c r="B10" s="24" t="s">
        <v>15</v>
      </c>
      <c r="C10" s="76">
        <v>0.23270078363012947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0.235146477806328</v>
      </c>
      <c r="D14" s="76">
        <v>0.235146477806328</v>
      </c>
      <c r="E14" s="76">
        <v>0.157752843702166</v>
      </c>
      <c r="F14" s="76">
        <v>0.157752843702166</v>
      </c>
    </row>
    <row r="15" spans="1:8" ht="15.75" customHeight="1">
      <c r="B15" s="24" t="s">
        <v>16</v>
      </c>
      <c r="C15" s="76">
        <v>0.24694383854927501</v>
      </c>
      <c r="D15" s="76">
        <v>0.24694383854927501</v>
      </c>
      <c r="E15" s="76">
        <v>0.17219977229563899</v>
      </c>
      <c r="F15" s="76">
        <v>0.17219977229563899</v>
      </c>
    </row>
    <row r="16" spans="1:8" ht="15.75" customHeight="1">
      <c r="B16" s="24" t="s">
        <v>17</v>
      </c>
      <c r="C16" s="76">
        <v>7.5453708821596702E-2</v>
      </c>
      <c r="D16" s="76">
        <v>7.5453708821596702E-2</v>
      </c>
      <c r="E16" s="76">
        <v>7.0493938268120698E-2</v>
      </c>
      <c r="F16" s="76">
        <v>7.0493938268120698E-2</v>
      </c>
    </row>
    <row r="17" spans="1:8" ht="15.75" customHeight="1">
      <c r="B17" s="24" t="s">
        <v>18</v>
      </c>
      <c r="C17" s="76">
        <v>2.62856302657213E-2</v>
      </c>
      <c r="D17" s="76">
        <v>2.62856302657213E-2</v>
      </c>
      <c r="E17" s="76">
        <v>4.8157944182194899E-2</v>
      </c>
      <c r="F17" s="76">
        <v>4.8157944182194899E-2</v>
      </c>
    </row>
    <row r="18" spans="1:8" ht="15.75" customHeight="1">
      <c r="B18" s="24" t="s">
        <v>19</v>
      </c>
      <c r="C18" s="76">
        <v>0.122708554326074</v>
      </c>
      <c r="D18" s="76">
        <v>0.122708554326074</v>
      </c>
      <c r="E18" s="76">
        <v>0.23904873298760601</v>
      </c>
      <c r="F18" s="76">
        <v>0.23904873298760601</v>
      </c>
    </row>
    <row r="19" spans="1:8" ht="15.75" customHeight="1">
      <c r="B19" s="24" t="s">
        <v>20</v>
      </c>
      <c r="C19" s="76">
        <v>2.34790607051132E-2</v>
      </c>
      <c r="D19" s="76">
        <v>2.34790607051132E-2</v>
      </c>
      <c r="E19" s="76">
        <v>1.8281226045470399E-2</v>
      </c>
      <c r="F19" s="76">
        <v>1.8281226045470399E-2</v>
      </c>
    </row>
    <row r="20" spans="1:8" ht="15.75" customHeight="1">
      <c r="B20" s="24" t="s">
        <v>21</v>
      </c>
      <c r="C20" s="76">
        <v>4.3656024449695803E-2</v>
      </c>
      <c r="D20" s="76">
        <v>4.3656024449695803E-2</v>
      </c>
      <c r="E20" s="76">
        <v>2.1111454288858199E-2</v>
      </c>
      <c r="F20" s="76">
        <v>2.1111454288858199E-2</v>
      </c>
    </row>
    <row r="21" spans="1:8" ht="15.75" customHeight="1">
      <c r="B21" s="24" t="s">
        <v>22</v>
      </c>
      <c r="C21" s="76">
        <v>2.6946805495912999E-2</v>
      </c>
      <c r="D21" s="76">
        <v>2.6946805495912999E-2</v>
      </c>
      <c r="E21" s="76">
        <v>6.4818172727619194E-2</v>
      </c>
      <c r="F21" s="76">
        <v>6.4818172727619194E-2</v>
      </c>
    </row>
    <row r="22" spans="1:8" ht="15.75" customHeight="1">
      <c r="B22" s="24" t="s">
        <v>23</v>
      </c>
      <c r="C22" s="76">
        <v>0.19937989958028302</v>
      </c>
      <c r="D22" s="76">
        <v>0.19937989958028302</v>
      </c>
      <c r="E22" s="76">
        <v>0.20813591550232569</v>
      </c>
      <c r="F22" s="76">
        <v>0.20813591550232569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8.6899999999999991E-2</v>
      </c>
    </row>
    <row r="27" spans="1:8" ht="15.75" customHeight="1">
      <c r="B27" s="24" t="s">
        <v>39</v>
      </c>
      <c r="C27" s="76">
        <v>8.5000000000000006E-3</v>
      </c>
    </row>
    <row r="28" spans="1:8" ht="15.75" customHeight="1">
      <c r="B28" s="24" t="s">
        <v>40</v>
      </c>
      <c r="C28" s="76">
        <v>0.15529999999999999</v>
      </c>
    </row>
    <row r="29" spans="1:8" ht="15.75" customHeight="1">
      <c r="B29" s="24" t="s">
        <v>41</v>
      </c>
      <c r="C29" s="76">
        <v>0.16839999999999999</v>
      </c>
    </row>
    <row r="30" spans="1:8" ht="15.75" customHeight="1">
      <c r="B30" s="24" t="s">
        <v>42</v>
      </c>
      <c r="C30" s="76">
        <v>0.1052</v>
      </c>
    </row>
    <row r="31" spans="1:8" ht="15.75" customHeight="1">
      <c r="B31" s="24" t="s">
        <v>43</v>
      </c>
      <c r="C31" s="76">
        <v>0.10869999999999999</v>
      </c>
    </row>
    <row r="32" spans="1:8" ht="15.75" customHeight="1">
      <c r="B32" s="24" t="s">
        <v>44</v>
      </c>
      <c r="C32" s="76">
        <v>1.8200000000000001E-2</v>
      </c>
    </row>
    <row r="33" spans="2:3" ht="15.75" customHeight="1">
      <c r="B33" s="24" t="s">
        <v>45</v>
      </c>
      <c r="C33" s="76">
        <v>8.4100000000000008E-2</v>
      </c>
    </row>
    <row r="34" spans="2:3" ht="15.75" customHeight="1">
      <c r="B34" s="24" t="s">
        <v>46</v>
      </c>
      <c r="C34" s="76">
        <v>0.26470000000447036</v>
      </c>
    </row>
    <row r="35" spans="2:3" ht="15.75" customHeight="1">
      <c r="B35" s="32" t="s">
        <v>129</v>
      </c>
      <c r="C35" s="91">
        <f>SUM(C26:C34)</f>
        <v>1.0000000000044704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0.57020000000000004</v>
      </c>
      <c r="D2" s="77">
        <v>0.57020000000000004</v>
      </c>
      <c r="E2" s="77">
        <v>0.47070000000000001</v>
      </c>
      <c r="F2" s="77">
        <v>0.28749999999999998</v>
      </c>
      <c r="G2" s="77">
        <v>0.26919999999999999</v>
      </c>
    </row>
    <row r="3" spans="1:15" ht="15.75" customHeight="1">
      <c r="A3" s="5"/>
      <c r="B3" s="11" t="s">
        <v>118</v>
      </c>
      <c r="C3" s="77">
        <v>0.21230000000000002</v>
      </c>
      <c r="D3" s="77">
        <v>0.21230000000000002</v>
      </c>
      <c r="E3" s="77">
        <v>0.24590000000000001</v>
      </c>
      <c r="F3" s="77">
        <v>0.2465</v>
      </c>
      <c r="G3" s="77">
        <v>0.2432</v>
      </c>
    </row>
    <row r="4" spans="1:15" ht="15.75" customHeight="1">
      <c r="A4" s="5"/>
      <c r="B4" s="11" t="s">
        <v>116</v>
      </c>
      <c r="C4" s="78">
        <v>0.124</v>
      </c>
      <c r="D4" s="78">
        <v>0.124</v>
      </c>
      <c r="E4" s="78">
        <v>0.1668</v>
      </c>
      <c r="F4" s="78">
        <v>0.22510000000000002</v>
      </c>
      <c r="G4" s="78">
        <v>0.22190000000000001</v>
      </c>
    </row>
    <row r="5" spans="1:15" ht="15.75" customHeight="1">
      <c r="A5" s="5"/>
      <c r="B5" s="11" t="s">
        <v>119</v>
      </c>
      <c r="C5" s="78">
        <v>9.3399999999999997E-2</v>
      </c>
      <c r="D5" s="78">
        <v>9.3399999999999997E-2</v>
      </c>
      <c r="E5" s="78">
        <v>0.1166</v>
      </c>
      <c r="F5" s="78">
        <v>0.24079999999999999</v>
      </c>
      <c r="G5" s="78">
        <v>0.26569999999999999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0.64890000000000003</v>
      </c>
      <c r="D8" s="77">
        <v>0.64890000000000003</v>
      </c>
      <c r="E8" s="77">
        <v>0.5161</v>
      </c>
      <c r="F8" s="77">
        <v>0.51690000000000003</v>
      </c>
      <c r="G8" s="77">
        <v>0.72900000000000009</v>
      </c>
    </row>
    <row r="9" spans="1:15" ht="15.75" customHeight="1">
      <c r="B9" s="7" t="s">
        <v>121</v>
      </c>
      <c r="C9" s="77">
        <v>0.2026</v>
      </c>
      <c r="D9" s="77">
        <v>0.2026</v>
      </c>
      <c r="E9" s="77">
        <v>0.29430000000000001</v>
      </c>
      <c r="F9" s="77">
        <v>0.30420000000000003</v>
      </c>
      <c r="G9" s="77">
        <v>0.2054</v>
      </c>
    </row>
    <row r="10" spans="1:15" ht="15.75" customHeight="1">
      <c r="B10" s="7" t="s">
        <v>122</v>
      </c>
      <c r="C10" s="78">
        <v>9.3800000000000008E-2</v>
      </c>
      <c r="D10" s="78">
        <v>9.3800000000000008E-2</v>
      </c>
      <c r="E10" s="78">
        <v>0.1396</v>
      </c>
      <c r="F10" s="78">
        <v>0.1328</v>
      </c>
      <c r="G10" s="78">
        <v>4.9400000000000006E-2</v>
      </c>
    </row>
    <row r="11" spans="1:15" ht="15.75" customHeight="1">
      <c r="B11" s="7" t="s">
        <v>123</v>
      </c>
      <c r="C11" s="78">
        <v>5.4800000000000001E-2</v>
      </c>
      <c r="D11" s="78">
        <v>5.4800000000000001E-2</v>
      </c>
      <c r="E11" s="78">
        <v>5.0099999999999999E-2</v>
      </c>
      <c r="F11" s="78">
        <v>4.6100000000000002E-2</v>
      </c>
      <c r="G11" s="78">
        <v>1.6299999999999999E-2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0.83953369649999998</v>
      </c>
      <c r="D14" s="79">
        <v>0.82410223475900002</v>
      </c>
      <c r="E14" s="79">
        <v>0.82410223475900002</v>
      </c>
      <c r="F14" s="79">
        <v>0.68824316440900002</v>
      </c>
      <c r="G14" s="79">
        <v>0.68824316440900002</v>
      </c>
      <c r="H14" s="80">
        <v>0.57799999999999996</v>
      </c>
      <c r="I14" s="80">
        <v>0.57799999999999996</v>
      </c>
      <c r="J14" s="80">
        <v>0.57799999999999996</v>
      </c>
      <c r="K14" s="80">
        <v>0.57799999999999996</v>
      </c>
      <c r="L14" s="80">
        <v>0.50252000000000008</v>
      </c>
      <c r="M14" s="80">
        <v>0.50252000000000008</v>
      </c>
      <c r="N14" s="80">
        <v>0.50252000000000008</v>
      </c>
      <c r="O14" s="80">
        <v>0.50252000000000008</v>
      </c>
    </row>
    <row r="15" spans="1:15" ht="15.75" customHeight="1">
      <c r="B15" s="16" t="s">
        <v>68</v>
      </c>
      <c r="C15" s="77">
        <f t="shared" ref="C15:O15" si="0">iron_deficiency_anaemia*C14</f>
        <v>0.31526996284803299</v>
      </c>
      <c r="D15" s="77">
        <f t="shared" si="0"/>
        <v>0.30947498834009085</v>
      </c>
      <c r="E15" s="77">
        <f t="shared" si="0"/>
        <v>0.30947498834009085</v>
      </c>
      <c r="F15" s="77">
        <f t="shared" si="0"/>
        <v>0.25845585207387572</v>
      </c>
      <c r="G15" s="77">
        <f t="shared" si="0"/>
        <v>0.25845585207387572</v>
      </c>
      <c r="H15" s="77">
        <f t="shared" si="0"/>
        <v>0.21705625311510418</v>
      </c>
      <c r="I15" s="77">
        <f t="shared" si="0"/>
        <v>0.21705625311510418</v>
      </c>
      <c r="J15" s="77">
        <f t="shared" si="0"/>
        <v>0.21705625311510418</v>
      </c>
      <c r="K15" s="77">
        <f t="shared" si="0"/>
        <v>0.21705625311510418</v>
      </c>
      <c r="L15" s="77">
        <f t="shared" si="0"/>
        <v>0.18871126006124944</v>
      </c>
      <c r="M15" s="77">
        <f t="shared" si="0"/>
        <v>0.18871126006124944</v>
      </c>
      <c r="N15" s="77">
        <f t="shared" si="0"/>
        <v>0.18871126006124944</v>
      </c>
      <c r="O15" s="77">
        <f t="shared" si="0"/>
        <v>0.18871126006124944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0.32200000000000001</v>
      </c>
      <c r="D2" s="78">
        <v>0.23550000000000001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0.34520000000000001</v>
      </c>
      <c r="D3" s="78">
        <v>0.29920000000000002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0.29730000000000001</v>
      </c>
      <c r="D4" s="78">
        <v>0.43479999999999996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3.5499999999999976E-2</v>
      </c>
      <c r="D5" s="77">
        <f t="shared" ref="D5:G5" si="0">1-SUM(D2:D4)</f>
        <v>3.0499999999999972E-2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E21" sqref="E2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>
      <c r="A2" t="s">
        <v>139</v>
      </c>
      <c r="B2" s="14" t="s">
        <v>143</v>
      </c>
      <c r="C2" s="28">
        <v>0.43530000000000002</v>
      </c>
      <c r="D2" s="28">
        <v>0.43690000000000001</v>
      </c>
      <c r="E2" s="28">
        <v>0.43659999999999999</v>
      </c>
      <c r="F2" s="28">
        <v>0.43659999999999999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0.1125</v>
      </c>
      <c r="D4" s="28">
        <v>0.11210000000000001</v>
      </c>
      <c r="E4" s="28">
        <v>0.112</v>
      </c>
      <c r="F4" s="28">
        <v>0.112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0.82410223475900002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0.57799999999999996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0.50252000000000008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0.23550000000000001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93.867999999999995</v>
      </c>
      <c r="D13" s="28">
        <v>89.522000000000006</v>
      </c>
      <c r="E13" s="28">
        <v>85.385000000000005</v>
      </c>
      <c r="F13" s="28">
        <v>81.510000000000005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8.14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48.2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45.25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230.62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0.73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1.34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1.42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1.42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1.42</v>
      </c>
      <c r="E13" s="86" t="s">
        <v>201</v>
      </c>
    </row>
    <row r="14" spans="1:5" ht="15.75" customHeight="1">
      <c r="A14" s="11" t="s">
        <v>189</v>
      </c>
      <c r="B14" s="85">
        <v>0.20499999999999999</v>
      </c>
      <c r="C14" s="85">
        <v>0.95</v>
      </c>
      <c r="D14" s="86">
        <v>14.53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15.4</v>
      </c>
      <c r="E15" s="86" t="s">
        <v>201</v>
      </c>
    </row>
    <row r="16" spans="1:5" ht="15.75" customHeight="1">
      <c r="A16" s="53" t="s">
        <v>57</v>
      </c>
      <c r="B16" s="85">
        <v>0.40399999999999997</v>
      </c>
      <c r="C16" s="85">
        <v>0.95</v>
      </c>
      <c r="D16" s="86">
        <v>0.15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0.47</v>
      </c>
      <c r="E17" s="86" t="s">
        <v>201</v>
      </c>
    </row>
    <row r="18" spans="1:5" ht="15.75" customHeight="1">
      <c r="A18" s="53" t="s">
        <v>175</v>
      </c>
      <c r="B18" s="85">
        <v>0.23600000000000002</v>
      </c>
      <c r="C18" s="85">
        <v>0.95</v>
      </c>
      <c r="D18" s="86">
        <v>5.38</v>
      </c>
      <c r="E18" s="86" t="s">
        <v>201</v>
      </c>
    </row>
    <row r="19" spans="1:5" ht="15.75" customHeight="1">
      <c r="A19" s="53" t="s">
        <v>174</v>
      </c>
      <c r="B19" s="85">
        <v>0.22600000000000001</v>
      </c>
      <c r="C19" s="85">
        <v>0.95</v>
      </c>
      <c r="D19" s="86">
        <v>5.7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6.73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24.89</v>
      </c>
      <c r="E22" s="86" t="s">
        <v>201</v>
      </c>
    </row>
    <row r="23" spans="1:5" ht="15.75" customHeight="1">
      <c r="A23" s="53" t="s">
        <v>34</v>
      </c>
      <c r="B23" s="85">
        <v>0.60599999999999998</v>
      </c>
      <c r="C23" s="85">
        <v>0.95</v>
      </c>
      <c r="D23" s="86">
        <v>4.84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20.89</v>
      </c>
      <c r="E24" s="86" t="s">
        <v>201</v>
      </c>
    </row>
    <row r="25" spans="1:5" ht="15.75" customHeight="1">
      <c r="A25" s="53" t="s">
        <v>87</v>
      </c>
      <c r="B25" s="85">
        <v>0.27</v>
      </c>
      <c r="C25" s="85">
        <v>0.95</v>
      </c>
      <c r="D25" s="86">
        <v>20.89</v>
      </c>
      <c r="E25" s="86" t="s">
        <v>201</v>
      </c>
    </row>
    <row r="26" spans="1:5" ht="15.75" customHeight="1">
      <c r="A26" s="53" t="s">
        <v>137</v>
      </c>
      <c r="B26" s="85">
        <v>0.20499999999999999</v>
      </c>
      <c r="C26" s="85">
        <v>0.95</v>
      </c>
      <c r="D26" s="86">
        <v>5.19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5.73</v>
      </c>
      <c r="E27" s="86" t="s">
        <v>201</v>
      </c>
    </row>
    <row r="28" spans="1:5" ht="15.75" customHeight="1">
      <c r="A28" s="53" t="s">
        <v>84</v>
      </c>
      <c r="B28" s="85">
        <v>0.4</v>
      </c>
      <c r="C28" s="85">
        <v>0.95</v>
      </c>
      <c r="D28" s="86">
        <v>0.79</v>
      </c>
      <c r="E28" s="86" t="s">
        <v>201</v>
      </c>
    </row>
    <row r="29" spans="1:5" ht="15.75" customHeight="1">
      <c r="A29" s="53" t="s">
        <v>58</v>
      </c>
      <c r="B29" s="85">
        <v>0.22600000000000001</v>
      </c>
      <c r="C29" s="85">
        <v>0.95</v>
      </c>
      <c r="D29" s="86">
        <v>90.09</v>
      </c>
      <c r="E29" s="86" t="s">
        <v>201</v>
      </c>
    </row>
    <row r="30" spans="1:5" ht="15.75" customHeight="1">
      <c r="A30" s="53" t="s">
        <v>67</v>
      </c>
      <c r="B30" s="85">
        <v>5.7999999999999996E-2</v>
      </c>
      <c r="C30" s="85">
        <v>0.95</v>
      </c>
      <c r="D30" s="86">
        <v>194.87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206.56</v>
      </c>
      <c r="E31" s="86" t="s">
        <v>201</v>
      </c>
    </row>
    <row r="32" spans="1:5" ht="15.75" customHeight="1">
      <c r="A32" s="53" t="s">
        <v>28</v>
      </c>
      <c r="B32" s="85">
        <v>0.83</v>
      </c>
      <c r="C32" s="85">
        <v>0.95</v>
      </c>
      <c r="D32" s="86">
        <v>0.98</v>
      </c>
      <c r="E32" s="86" t="s">
        <v>201</v>
      </c>
    </row>
    <row r="33" spans="1:6" ht="15.75" customHeight="1">
      <c r="A33" s="53" t="s">
        <v>83</v>
      </c>
      <c r="B33" s="85">
        <v>0.29299999999999998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>
        <v>0.56499999999999995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>
        <v>0.39200000000000002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>
        <v>0.71400000000000008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>
        <v>0.08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>
        <v>0.311</v>
      </c>
      <c r="C38" s="85">
        <v>0.95</v>
      </c>
      <c r="D38" s="86">
        <v>2.0699999999999998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1.01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2020-08-31T01:06:05Z</dcterms:modified>
</cp:coreProperties>
</file>