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507FFA3-0537-48B6-B409-7E3E2CA67FC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<sst xmlns="http://schemas.openxmlformats.org/spreadsheetml/2006/main" count="1109" uniqueCount="272">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</sst>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120533</v>
      </c>
    </row>
    <row r="8" spans="1:3" ht="15" customHeight="1">
      <c r="B8" s="7" t="s">
        <v>106</v>
      </c>
      <c r="C8" s="66">
        <v>0.17899999999999999</v>
      </c>
    </row>
    <row r="9" spans="1:3" ht="15" customHeight="1">
      <c r="B9" s="9" t="s">
        <v>107</v>
      </c>
      <c r="C9" s="67">
        <v>0.5</v>
      </c>
    </row>
    <row r="10" spans="1:3" ht="15" customHeight="1">
      <c r="B10" s="9" t="s">
        <v>105</v>
      </c>
      <c r="C10" s="67">
        <v>0.44813041687011695</v>
      </c>
    </row>
    <row r="11" spans="1:3" ht="15" customHeight="1">
      <c r="B11" s="7" t="s">
        <v>108</v>
      </c>
      <c r="C11" s="66">
        <v>0.48899999999999999</v>
      </c>
    </row>
    <row r="12" spans="1:3" ht="15" customHeight="1">
      <c r="B12" s="7" t="s">
        <v>109</v>
      </c>
      <c r="C12" s="66">
        <v>0.38100000000000001</v>
      </c>
    </row>
    <row r="13" spans="1:3" ht="15" customHeight="1">
      <c r="B13" s="7" t="s">
        <v>110</v>
      </c>
      <c r="C13" s="66">
        <v>0.72199999999999998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8.2599999999999993E-2</v>
      </c>
    </row>
    <row r="24" spans="1:3" ht="15" customHeight="1">
      <c r="B24" s="20" t="s">
        <v>102</v>
      </c>
      <c r="C24" s="67">
        <v>0.42909999999999998</v>
      </c>
    </row>
    <row r="25" spans="1:3" ht="15" customHeight="1">
      <c r="B25" s="20" t="s">
        <v>103</v>
      </c>
      <c r="C25" s="67">
        <v>0.38799999999999996</v>
      </c>
    </row>
    <row r="26" spans="1:3" ht="15" customHeight="1">
      <c r="B26" s="20" t="s">
        <v>104</v>
      </c>
      <c r="C26" s="67">
        <v>0.1003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0.18</v>
      </c>
    </row>
    <row r="30" spans="1:3" ht="14.25" customHeight="1">
      <c r="B30" s="30" t="s">
        <v>76</v>
      </c>
      <c r="C30" s="69">
        <v>0.152</v>
      </c>
    </row>
    <row r="31" spans="1:3" ht="14.25" customHeight="1">
      <c r="B31" s="30" t="s">
        <v>77</v>
      </c>
      <c r="C31" s="69">
        <v>0.16</v>
      </c>
    </row>
    <row r="32" spans="1:3" ht="14.25" customHeight="1">
      <c r="B32" s="30" t="s">
        <v>78</v>
      </c>
      <c r="C32" s="69">
        <v>0.5080000000149012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31.7</v>
      </c>
    </row>
    <row r="38" spans="1:5" ht="15" customHeight="1">
      <c r="B38" s="16" t="s">
        <v>91</v>
      </c>
      <c r="C38" s="68">
        <v>52.2</v>
      </c>
      <c r="D38" s="17"/>
      <c r="E38" s="18"/>
    </row>
    <row r="39" spans="1:5" ht="15" customHeight="1">
      <c r="B39" s="16" t="s">
        <v>90</v>
      </c>
      <c r="C39" s="68">
        <v>69</v>
      </c>
      <c r="D39" s="17"/>
      <c r="E39" s="17"/>
    </row>
    <row r="40" spans="1:5" ht="15" customHeight="1">
      <c r="B40" s="16" t="s">
        <v>171</v>
      </c>
      <c r="C40" s="68">
        <v>3.35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30.5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0.14000000000000001</v>
      </c>
      <c r="D46" s="17"/>
    </row>
    <row r="47" spans="1:5" ht="15.75" customHeight="1">
      <c r="B47" s="16" t="s">
        <v>12</v>
      </c>
      <c r="C47" s="67">
        <v>0.34939999999999999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0.48380000000000006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3.2102904138825004</v>
      </c>
      <c r="D51" s="17"/>
    </row>
    <row r="52" spans="1:4" ht="15" customHeight="1">
      <c r="B52" s="16" t="s">
        <v>125</v>
      </c>
      <c r="C52" s="65">
        <v>3.1241803053899999</v>
      </c>
    </row>
    <row r="53" spans="1:4" ht="15.75" customHeight="1">
      <c r="B53" s="16" t="s">
        <v>126</v>
      </c>
      <c r="C53" s="65">
        <v>3.1241803053899999</v>
      </c>
    </row>
    <row r="54" spans="1:4" ht="15.75" customHeight="1">
      <c r="B54" s="16" t="s">
        <v>127</v>
      </c>
      <c r="C54" s="65">
        <v>2.0009645703399999</v>
      </c>
    </row>
    <row r="55" spans="1:4" ht="15.75" customHeight="1">
      <c r="B55" s="16" t="s">
        <v>128</v>
      </c>
      <c r="C55" s="65">
        <v>2.0009645703399999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0.47604609353462091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3.2102904138825004</v>
      </c>
      <c r="C2" s="26">
        <f>'Baseline year population inputs'!C52</f>
        <v>3.1241803053899999</v>
      </c>
      <c r="D2" s="26">
        <f>'Baseline year population inputs'!C53</f>
        <v>3.1241803053899999</v>
      </c>
      <c r="E2" s="26">
        <f>'Baseline year population inputs'!C54</f>
        <v>2.0009645703399999</v>
      </c>
      <c r="F2" s="26">
        <f>'Baseline year population inputs'!C55</f>
        <v>2.0009645703399999</v>
      </c>
    </row>
    <row r="3" spans="1:6" ht="15.75" customHeight="1">
      <c r="A3" s="3" t="s">
        <v>65</v>
      </c>
      <c r="B3" s="26">
        <f>frac_mam_1month * 2.6</f>
        <v>0.21631999999999998</v>
      </c>
      <c r="C3" s="26">
        <f>frac_mam_1_5months * 2.6</f>
        <v>0.21631999999999998</v>
      </c>
      <c r="D3" s="26">
        <f>frac_mam_6_11months * 2.6</f>
        <v>0.34007999999999999</v>
      </c>
      <c r="E3" s="26">
        <f>frac_mam_12_23months * 2.6</f>
        <v>0.23061999999999996</v>
      </c>
      <c r="F3" s="26">
        <f>frac_mam_24_59months * 2.6</f>
        <v>0.12662000000000001</v>
      </c>
    </row>
    <row r="4" spans="1:6" ht="15.75" customHeight="1">
      <c r="A4" s="3" t="s">
        <v>66</v>
      </c>
      <c r="B4" s="26">
        <f>frac_sam_1month * 2.6</f>
        <v>0.25584000000000001</v>
      </c>
      <c r="C4" s="26">
        <f>frac_sam_1_5months * 2.6</f>
        <v>0.25584000000000001</v>
      </c>
      <c r="D4" s="26">
        <f>frac_sam_6_11months * 2.6</f>
        <v>0.156</v>
      </c>
      <c r="E4" s="26">
        <f>frac_sam_12_23months * 2.6</f>
        <v>0.1014</v>
      </c>
      <c r="F4" s="26">
        <f>frac_sam_24_59months * 2.6</f>
        <v>9.178E-2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0.17899999999999999</v>
      </c>
      <c r="E2" s="93">
        <f>food_insecure</f>
        <v>0.17899999999999999</v>
      </c>
      <c r="F2" s="93">
        <f>food_insecure</f>
        <v>0.17899999999999999</v>
      </c>
      <c r="G2" s="93">
        <f>food_insecure</f>
        <v>0.17899999999999999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0.17899999999999999</v>
      </c>
      <c r="F5" s="93">
        <f>food_insecure</f>
        <v>0.17899999999999999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3.2102904138825004</v>
      </c>
      <c r="D7" s="93">
        <f>diarrhoea_1_5mo</f>
        <v>3.1241803053899999</v>
      </c>
      <c r="E7" s="93">
        <f>diarrhoea_6_11mo</f>
        <v>3.1241803053899999</v>
      </c>
      <c r="F7" s="93">
        <f>diarrhoea_12_23mo</f>
        <v>2.0009645703399999</v>
      </c>
      <c r="G7" s="93">
        <f>diarrhoea_24_59mo</f>
        <v>2.0009645703399999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0.17899999999999999</v>
      </c>
      <c r="F8" s="93">
        <f>food_insecure</f>
        <v>0.17899999999999999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3.2102904138825004</v>
      </c>
      <c r="D12" s="93">
        <f>diarrhoea_1_5mo</f>
        <v>3.1241803053899999</v>
      </c>
      <c r="E12" s="93">
        <f>diarrhoea_6_11mo</f>
        <v>3.1241803053899999</v>
      </c>
      <c r="F12" s="93">
        <f>diarrhoea_12_23mo</f>
        <v>2.0009645703399999</v>
      </c>
      <c r="G12" s="93">
        <f>diarrhoea_24_59mo</f>
        <v>2.0009645703399999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0.17899999999999999</v>
      </c>
      <c r="I15" s="93">
        <f>food_insecure</f>
        <v>0.17899999999999999</v>
      </c>
      <c r="J15" s="93">
        <f>food_insecure</f>
        <v>0.17899999999999999</v>
      </c>
      <c r="K15" s="93">
        <f>food_insecure</f>
        <v>0.17899999999999999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0.48899999999999999</v>
      </c>
      <c r="I18" s="93">
        <f>frac_PW_health_facility</f>
        <v>0.48899999999999999</v>
      </c>
      <c r="J18" s="93">
        <f>frac_PW_health_facility</f>
        <v>0.48899999999999999</v>
      </c>
      <c r="K18" s="93">
        <f>frac_PW_health_facility</f>
        <v>0.48899999999999999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</v>
      </c>
      <c r="I19" s="93">
        <f>frac_malaria_risk</f>
        <v>0.5</v>
      </c>
      <c r="J19" s="93">
        <f>frac_malaria_risk</f>
        <v>0.5</v>
      </c>
      <c r="K19" s="93">
        <f>frac_malaria_risk</f>
        <v>0.5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0.72199999999999998</v>
      </c>
      <c r="M24" s="93">
        <f>famplan_unmet_need</f>
        <v>0.72199999999999998</v>
      </c>
      <c r="N24" s="93">
        <f>famplan_unmet_need</f>
        <v>0.72199999999999998</v>
      </c>
      <c r="O24" s="93">
        <f>famplan_unmet_need</f>
        <v>0.72199999999999998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0.29116087336349494</v>
      </c>
      <c r="M25" s="93">
        <f>(1-food_insecure)*(0.49)+food_insecure*(0.7)</f>
        <v>0.52759</v>
      </c>
      <c r="N25" s="93">
        <f>(1-food_insecure)*(0.49)+food_insecure*(0.7)</f>
        <v>0.52759</v>
      </c>
      <c r="O25" s="93">
        <f>(1-food_insecure)*(0.49)+food_insecure*(0.7)</f>
        <v>0.52759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0.12478323144149783</v>
      </c>
      <c r="M26" s="93">
        <f>(1-food_insecure)*(0.21)+food_insecure*(0.3)</f>
        <v>0.22610999999999998</v>
      </c>
      <c r="N26" s="93">
        <f>(1-food_insecure)*(0.21)+food_insecure*(0.3)</f>
        <v>0.22610999999999998</v>
      </c>
      <c r="O26" s="93">
        <f>(1-food_insecure)*(0.21)+food_insecure*(0.3)</f>
        <v>0.22610999999999998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0.13592547832489016</v>
      </c>
      <c r="M27" s="93">
        <f>(1-food_insecure)*(0.3)</f>
        <v>0.24629999999999996</v>
      </c>
      <c r="N27" s="93">
        <f>(1-food_insecure)*(0.3)</f>
        <v>0.24629999999999996</v>
      </c>
      <c r="O27" s="93">
        <f>(1-food_insecure)*(0.3)</f>
        <v>0.24629999999999996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0.44813041687011695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</v>
      </c>
      <c r="D34" s="93">
        <f t="shared" si="3"/>
        <v>0.5</v>
      </c>
      <c r="E34" s="93">
        <f t="shared" si="3"/>
        <v>0.5</v>
      </c>
      <c r="F34" s="93">
        <f t="shared" si="3"/>
        <v>0.5</v>
      </c>
      <c r="G34" s="93">
        <f t="shared" si="3"/>
        <v>0.5</v>
      </c>
      <c r="H34" s="93">
        <f t="shared" si="3"/>
        <v>0.5</v>
      </c>
      <c r="I34" s="93">
        <f t="shared" si="3"/>
        <v>0.5</v>
      </c>
      <c r="J34" s="93">
        <f t="shared" si="3"/>
        <v>0.5</v>
      </c>
      <c r="K34" s="93">
        <f t="shared" si="3"/>
        <v>0.5</v>
      </c>
      <c r="L34" s="93">
        <f t="shared" si="3"/>
        <v>0.5</v>
      </c>
      <c r="M34" s="93">
        <f t="shared" si="3"/>
        <v>0.5</v>
      </c>
      <c r="N34" s="93">
        <f t="shared" si="3"/>
        <v>0.5</v>
      </c>
      <c r="O34" s="93">
        <f t="shared" si="3"/>
        <v>0.5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26933</v>
      </c>
      <c r="C2" s="75">
        <v>44000</v>
      </c>
      <c r="D2" s="75">
        <v>74000</v>
      </c>
      <c r="E2" s="75">
        <v>58000</v>
      </c>
      <c r="F2" s="75">
        <v>38000</v>
      </c>
      <c r="G2" s="22">
        <f t="shared" ref="G2:G40" si="0">C2+D2+E2+F2</f>
        <v>214000</v>
      </c>
      <c r="H2" s="22">
        <f t="shared" ref="H2:H40" si="1">(B2 + stillbirth*B2/(1000-stillbirth))/(1-abortion)</f>
        <v>31931.378302597022</v>
      </c>
      <c r="I2" s="22">
        <f>G2-H2</f>
        <v>182068.62169740297</v>
      </c>
    </row>
    <row r="3" spans="1:9" ht="15.75" customHeight="1">
      <c r="A3" s="92">
        <f t="shared" ref="A3:A40" si="2">IF($A$2+ROW(A3)-2&lt;=end_year,A2+1,"")</f>
        <v>2021</v>
      </c>
      <c r="B3" s="74">
        <v>27252</v>
      </c>
      <c r="C3" s="75">
        <v>45000</v>
      </c>
      <c r="D3" s="75">
        <v>76000</v>
      </c>
      <c r="E3" s="75">
        <v>60000</v>
      </c>
      <c r="F3" s="75">
        <v>40000</v>
      </c>
      <c r="G3" s="22">
        <f t="shared" si="0"/>
        <v>221000</v>
      </c>
      <c r="H3" s="22">
        <f t="shared" si="1"/>
        <v>32309.58012484217</v>
      </c>
      <c r="I3" s="22">
        <f t="shared" ref="I3:I15" si="3">G3-H3</f>
        <v>188690.41987515782</v>
      </c>
    </row>
    <row r="4" spans="1:9" ht="15.75" customHeight="1">
      <c r="A4" s="92">
        <f t="shared" si="2"/>
        <v>2022</v>
      </c>
      <c r="B4" s="74">
        <v>27482</v>
      </c>
      <c r="C4" s="75">
        <v>46000</v>
      </c>
      <c r="D4" s="75">
        <v>77000</v>
      </c>
      <c r="E4" s="75">
        <v>61000</v>
      </c>
      <c r="F4" s="75">
        <v>41000</v>
      </c>
      <c r="G4" s="22">
        <f t="shared" si="0"/>
        <v>225000</v>
      </c>
      <c r="H4" s="22">
        <f t="shared" si="1"/>
        <v>32582.264824266567</v>
      </c>
      <c r="I4" s="22">
        <f t="shared" si="3"/>
        <v>192417.73517573343</v>
      </c>
    </row>
    <row r="5" spans="1:9" ht="15.75" customHeight="1">
      <c r="A5" s="92" t="str">
        <f t="shared" si="2"/>
        <v/>
      </c>
      <c r="B5" s="74">
        <v>27444.232399999994</v>
      </c>
      <c r="C5" s="75">
        <v>47000</v>
      </c>
      <c r="D5" s="75">
        <v>78000</v>
      </c>
      <c r="E5" s="75">
        <v>62000</v>
      </c>
      <c r="F5" s="75">
        <v>43000</v>
      </c>
      <c r="G5" s="22">
        <f t="shared" si="0"/>
        <v>230000</v>
      </c>
      <c r="H5" s="22">
        <f t="shared" si="1"/>
        <v>32537.488099684033</v>
      </c>
      <c r="I5" s="22">
        <f t="shared" si="3"/>
        <v>197462.51190031596</v>
      </c>
    </row>
    <row r="6" spans="1:9" ht="15.75" customHeight="1">
      <c r="A6" s="92" t="str">
        <f t="shared" si="2"/>
        <v/>
      </c>
      <c r="B6" s="74">
        <v>27604.583999999995</v>
      </c>
      <c r="C6" s="75">
        <v>48000</v>
      </c>
      <c r="D6" s="75">
        <v>80000</v>
      </c>
      <c r="E6" s="75">
        <v>64000</v>
      </c>
      <c r="F6" s="75">
        <v>45000</v>
      </c>
      <c r="G6" s="22">
        <f t="shared" si="0"/>
        <v>237000</v>
      </c>
      <c r="H6" s="22">
        <f t="shared" si="1"/>
        <v>32727.598655545866</v>
      </c>
      <c r="I6" s="22">
        <f t="shared" si="3"/>
        <v>204272.40134445415</v>
      </c>
    </row>
    <row r="7" spans="1:9" ht="15.75" customHeight="1">
      <c r="A7" s="92" t="str">
        <f t="shared" si="2"/>
        <v/>
      </c>
      <c r="B7" s="74">
        <v>27777.525000000001</v>
      </c>
      <c r="C7" s="75">
        <v>49000</v>
      </c>
      <c r="D7" s="75">
        <v>81000</v>
      </c>
      <c r="E7" s="75">
        <v>65000</v>
      </c>
      <c r="F7" s="75">
        <v>46000</v>
      </c>
      <c r="G7" s="22">
        <f t="shared" si="0"/>
        <v>241000</v>
      </c>
      <c r="H7" s="22">
        <f t="shared" si="1"/>
        <v>32932.635023385679</v>
      </c>
      <c r="I7" s="22">
        <f t="shared" si="3"/>
        <v>208067.36497661431</v>
      </c>
    </row>
    <row r="8" spans="1:9" ht="15.75" customHeight="1">
      <c r="A8" s="92" t="str">
        <f t="shared" si="2"/>
        <v/>
      </c>
      <c r="B8" s="74">
        <v>27984.5664</v>
      </c>
      <c r="C8" s="75">
        <v>50000</v>
      </c>
      <c r="D8" s="75">
        <v>83000</v>
      </c>
      <c r="E8" s="75">
        <v>66000</v>
      </c>
      <c r="F8" s="75">
        <v>48000</v>
      </c>
      <c r="G8" s="22">
        <f t="shared" si="0"/>
        <v>247000</v>
      </c>
      <c r="H8" s="22">
        <f t="shared" si="1"/>
        <v>33178.10033611353</v>
      </c>
      <c r="I8" s="22">
        <f t="shared" si="3"/>
        <v>213821.89966388646</v>
      </c>
    </row>
    <row r="9" spans="1:9" ht="15.75" customHeight="1">
      <c r="A9" s="92" t="str">
        <f t="shared" si="2"/>
        <v/>
      </c>
      <c r="B9" s="74">
        <v>28178.482599999999</v>
      </c>
      <c r="C9" s="75">
        <v>51000</v>
      </c>
      <c r="D9" s="75">
        <v>85000</v>
      </c>
      <c r="E9" s="75">
        <v>68000</v>
      </c>
      <c r="F9" s="75">
        <v>50000</v>
      </c>
      <c r="G9" s="22">
        <f t="shared" si="0"/>
        <v>254000</v>
      </c>
      <c r="H9" s="22">
        <f t="shared" si="1"/>
        <v>33408.004600072323</v>
      </c>
      <c r="I9" s="22">
        <f t="shared" si="3"/>
        <v>220591.99539992766</v>
      </c>
    </row>
    <row r="10" spans="1:9" ht="15.75" customHeight="1">
      <c r="A10" s="92" t="str">
        <f t="shared" si="2"/>
        <v/>
      </c>
      <c r="B10" s="74">
        <v>28387.022399999994</v>
      </c>
      <c r="C10" s="75">
        <v>52000</v>
      </c>
      <c r="D10" s="75">
        <v>87000</v>
      </c>
      <c r="E10" s="75">
        <v>68000</v>
      </c>
      <c r="F10" s="75">
        <v>51000</v>
      </c>
      <c r="G10" s="22">
        <f t="shared" si="0"/>
        <v>258000</v>
      </c>
      <c r="H10" s="22">
        <f t="shared" si="1"/>
        <v>33655.246394337635</v>
      </c>
      <c r="I10" s="22">
        <f t="shared" si="3"/>
        <v>224344.75360566238</v>
      </c>
    </row>
    <row r="11" spans="1:9" ht="15.75" customHeight="1">
      <c r="A11" s="92" t="str">
        <f t="shared" si="2"/>
        <v/>
      </c>
      <c r="B11" s="74">
        <v>28554.342799999995</v>
      </c>
      <c r="C11" s="75">
        <v>53000</v>
      </c>
      <c r="D11" s="75">
        <v>89000</v>
      </c>
      <c r="E11" s="75">
        <v>70000</v>
      </c>
      <c r="F11" s="75">
        <v>53000</v>
      </c>
      <c r="G11" s="22">
        <f t="shared" si="0"/>
        <v>265000</v>
      </c>
      <c r="H11" s="22">
        <f t="shared" si="1"/>
        <v>33853.619059474899</v>
      </c>
      <c r="I11" s="22">
        <f t="shared" si="3"/>
        <v>231146.38094052509</v>
      </c>
    </row>
    <row r="12" spans="1:9" ht="15.75" customHeight="1">
      <c r="A12" s="92" t="str">
        <f t="shared" si="2"/>
        <v/>
      </c>
      <c r="B12" s="74">
        <v>28735.596000000001</v>
      </c>
      <c r="C12" s="75">
        <v>54000</v>
      </c>
      <c r="D12" s="75">
        <v>90000</v>
      </c>
      <c r="E12" s="75">
        <v>72000</v>
      </c>
      <c r="F12" s="75">
        <v>55000</v>
      </c>
      <c r="G12" s="22">
        <f t="shared" si="0"/>
        <v>271000</v>
      </c>
      <c r="H12" s="22">
        <f t="shared" si="1"/>
        <v>34068.510252351909</v>
      </c>
      <c r="I12" s="22">
        <f t="shared" si="3"/>
        <v>236931.4897476481</v>
      </c>
    </row>
    <row r="13" spans="1:9" ht="15.75" customHeight="1">
      <c r="A13" s="92" t="str">
        <f t="shared" si="2"/>
        <v/>
      </c>
      <c r="B13" s="74">
        <v>43000</v>
      </c>
      <c r="C13" s="75">
        <v>73000</v>
      </c>
      <c r="D13" s="75">
        <v>57000</v>
      </c>
      <c r="E13" s="75">
        <v>37000</v>
      </c>
      <c r="F13" s="75">
        <v>5.9058359249999998E-2</v>
      </c>
      <c r="G13" s="22">
        <f t="shared" si="0"/>
        <v>167000.05905835924</v>
      </c>
      <c r="H13" s="22">
        <f t="shared" si="1"/>
        <v>50980.182935865741</v>
      </c>
      <c r="I13" s="22">
        <f t="shared" si="3"/>
        <v>116019.8761224935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5.9058359249999998E-2</v>
      </c>
    </row>
    <row r="4" spans="1:8" ht="15.75" customHeight="1">
      <c r="B4" s="24" t="s">
        <v>7</v>
      </c>
      <c r="C4" s="76">
        <v>0.20668701161840849</v>
      </c>
    </row>
    <row r="5" spans="1:8" ht="15.75" customHeight="1">
      <c r="B5" s="24" t="s">
        <v>8</v>
      </c>
      <c r="C5" s="76">
        <v>0.11548697666282681</v>
      </c>
    </row>
    <row r="6" spans="1:8" ht="15.75" customHeight="1">
      <c r="B6" s="24" t="s">
        <v>10</v>
      </c>
      <c r="C6" s="76">
        <v>0.13645892739097215</v>
      </c>
    </row>
    <row r="7" spans="1:8" ht="15.75" customHeight="1">
      <c r="B7" s="24" t="s">
        <v>13</v>
      </c>
      <c r="C7" s="76">
        <v>0.12815362531679475</v>
      </c>
    </row>
    <row r="8" spans="1:8" ht="15.75" customHeight="1">
      <c r="B8" s="24" t="s">
        <v>14</v>
      </c>
      <c r="C8" s="76">
        <v>5.8029083100654601E-3</v>
      </c>
    </row>
    <row r="9" spans="1:8" ht="15.75" customHeight="1">
      <c r="B9" s="24" t="s">
        <v>27</v>
      </c>
      <c r="C9" s="76">
        <v>0.11384817118637025</v>
      </c>
    </row>
    <row r="10" spans="1:8" ht="15.75" customHeight="1">
      <c r="B10" s="24" t="s">
        <v>15</v>
      </c>
      <c r="C10" s="76">
        <v>0.23450402026456207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0.18324846750007301</v>
      </c>
      <c r="D14" s="76">
        <v>0.18324846750007301</v>
      </c>
      <c r="E14" s="76">
        <v>0.171916062987371</v>
      </c>
      <c r="F14" s="76">
        <v>0.171916062987371</v>
      </c>
    </row>
    <row r="15" spans="1:8" ht="15.75" customHeight="1">
      <c r="B15" s="24" t="s">
        <v>16</v>
      </c>
      <c r="C15" s="76">
        <v>0.24924774848594</v>
      </c>
      <c r="D15" s="76">
        <v>0.24924774848594</v>
      </c>
      <c r="E15" s="76">
        <v>0.142627995798986</v>
      </c>
      <c r="F15" s="76">
        <v>0.142627995798986</v>
      </c>
    </row>
    <row r="16" spans="1:8" ht="15.75" customHeight="1">
      <c r="B16" s="24" t="s">
        <v>17</v>
      </c>
      <c r="C16" s="76">
        <v>4.0819956746196005E-2</v>
      </c>
      <c r="D16" s="76">
        <v>4.0819956746196005E-2</v>
      </c>
      <c r="E16" s="76">
        <v>3.6992281562340502E-2</v>
      </c>
      <c r="F16" s="76">
        <v>3.6992281562340502E-2</v>
      </c>
    </row>
    <row r="17" spans="1:8" ht="15.75" customHeight="1">
      <c r="B17" s="24" t="s">
        <v>18</v>
      </c>
      <c r="C17" s="76">
        <v>1.6145124511198899E-2</v>
      </c>
      <c r="D17" s="76">
        <v>1.6145124511198899E-2</v>
      </c>
      <c r="E17" s="76">
        <v>6.6950520025688798E-2</v>
      </c>
      <c r="F17" s="76">
        <v>6.6950520025688798E-2</v>
      </c>
    </row>
    <row r="18" spans="1:8" ht="15.75" customHeight="1">
      <c r="B18" s="24" t="s">
        <v>19</v>
      </c>
      <c r="C18" s="76">
        <v>1.3333502592436001E-4</v>
      </c>
      <c r="D18" s="76">
        <v>1.3333502592436001E-4</v>
      </c>
      <c r="E18" s="76">
        <v>2.59916790998265E-4</v>
      </c>
      <c r="F18" s="76">
        <v>2.59916790998265E-4</v>
      </c>
    </row>
    <row r="19" spans="1:8" ht="15.75" customHeight="1">
      <c r="B19" s="24" t="s">
        <v>20</v>
      </c>
      <c r="C19" s="76">
        <v>4.9753929206923397E-2</v>
      </c>
      <c r="D19" s="76">
        <v>4.9753929206923397E-2</v>
      </c>
      <c r="E19" s="76">
        <v>8.5912518774637694E-2</v>
      </c>
      <c r="F19" s="76">
        <v>8.5912518774637694E-2</v>
      </c>
    </row>
    <row r="20" spans="1:8" ht="15.75" customHeight="1">
      <c r="B20" s="24" t="s">
        <v>21</v>
      </c>
      <c r="C20" s="76">
        <v>7.3916165938965803E-5</v>
      </c>
      <c r="D20" s="76">
        <v>7.3916165938965803E-5</v>
      </c>
      <c r="E20" s="76">
        <v>4.8255705576347402E-4</v>
      </c>
      <c r="F20" s="76">
        <v>4.8255705576347402E-4</v>
      </c>
    </row>
    <row r="21" spans="1:8" ht="15.75" customHeight="1">
      <c r="B21" s="24" t="s">
        <v>22</v>
      </c>
      <c r="C21" s="76">
        <v>3.4379386132423598E-2</v>
      </c>
      <c r="D21" s="76">
        <v>3.4379386132423598E-2</v>
      </c>
      <c r="E21" s="76">
        <v>9.2262294196960498E-2</v>
      </c>
      <c r="F21" s="76">
        <v>9.2262294196960498E-2</v>
      </c>
    </row>
    <row r="22" spans="1:8" ht="15.75" customHeight="1">
      <c r="B22" s="24" t="s">
        <v>23</v>
      </c>
      <c r="C22" s="76">
        <v>0.42619813622538172</v>
      </c>
      <c r="D22" s="76">
        <v>0.42619813622538172</v>
      </c>
      <c r="E22" s="76">
        <v>0.40259585280725374</v>
      </c>
      <c r="F22" s="76">
        <v>0.40259585280725374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8.8599999999999998E-2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0.1573</v>
      </c>
    </row>
    <row r="29" spans="1:8" ht="15.75" customHeight="1">
      <c r="B29" s="24" t="s">
        <v>41</v>
      </c>
      <c r="C29" s="76">
        <v>0.17010000000000003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0.11119999999999999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8.5199999999999998E-2</v>
      </c>
    </row>
    <row r="34" spans="2:3" ht="15.75" customHeight="1">
      <c r="B34" s="24" t="s">
        <v>46</v>
      </c>
      <c r="C34" s="76">
        <v>0.25400000000223516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0.66491704826245446</v>
      </c>
      <c r="D2" s="77">
        <v>0.6663</v>
      </c>
      <c r="E2" s="77">
        <v>0.52890000000000004</v>
      </c>
      <c r="F2" s="77">
        <v>0.37369999999999998</v>
      </c>
      <c r="G2" s="77">
        <v>0.43020000000000003</v>
      </c>
    </row>
    <row r="3" spans="1:15" ht="15.75" customHeight="1">
      <c r="A3" s="5"/>
      <c r="B3" s="11" t="s">
        <v>118</v>
      </c>
      <c r="C3" s="77">
        <v>0.13539999999999999</v>
      </c>
      <c r="D3" s="77">
        <v>0.13539999999999999</v>
      </c>
      <c r="E3" s="77">
        <v>0.19760000000000003</v>
      </c>
      <c r="F3" s="77">
        <v>0.23149999999999998</v>
      </c>
      <c r="G3" s="77">
        <v>0.25379999999999997</v>
      </c>
    </row>
    <row r="4" spans="1:15" ht="15.75" customHeight="1">
      <c r="A4" s="5"/>
      <c r="B4" s="11" t="s">
        <v>116</v>
      </c>
      <c r="C4" s="78">
        <v>0.12909999999999999</v>
      </c>
      <c r="D4" s="78">
        <v>0.12909999999999999</v>
      </c>
      <c r="E4" s="78">
        <v>0.1386</v>
      </c>
      <c r="F4" s="78">
        <v>0.17710000000000001</v>
      </c>
      <c r="G4" s="78">
        <v>0.15039999999999998</v>
      </c>
    </row>
    <row r="5" spans="1:15" ht="15.75" customHeight="1">
      <c r="A5" s="5"/>
      <c r="B5" s="11" t="s">
        <v>119</v>
      </c>
      <c r="C5" s="78">
        <v>6.9199999999999998E-2</v>
      </c>
      <c r="D5" s="78">
        <v>6.9199999999999998E-2</v>
      </c>
      <c r="E5" s="78">
        <v>0.13489999999999999</v>
      </c>
      <c r="F5" s="78">
        <v>0.21780000000000002</v>
      </c>
      <c r="G5" s="78">
        <v>0.16550000000000001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0.60599999999999998</v>
      </c>
      <c r="D8" s="77">
        <v>0.60599999999999998</v>
      </c>
      <c r="E8" s="77">
        <v>0.65260000000000007</v>
      </c>
      <c r="F8" s="77">
        <v>0.75709999999999988</v>
      </c>
      <c r="G8" s="77">
        <v>0.77469999999999994</v>
      </c>
    </row>
    <row r="9" spans="1:15" ht="15.75" customHeight="1">
      <c r="B9" s="7" t="s">
        <v>121</v>
      </c>
      <c r="C9" s="77">
        <v>0.21239999999999998</v>
      </c>
      <c r="D9" s="77">
        <v>0.21239999999999998</v>
      </c>
      <c r="E9" s="77">
        <v>0.15659999999999999</v>
      </c>
      <c r="F9" s="77">
        <v>0.1152</v>
      </c>
      <c r="G9" s="77">
        <v>0.1414</v>
      </c>
    </row>
    <row r="10" spans="1:15" ht="15.75" customHeight="1">
      <c r="B10" s="7" t="s">
        <v>122</v>
      </c>
      <c r="C10" s="78">
        <v>8.3199999999999996E-2</v>
      </c>
      <c r="D10" s="78">
        <v>8.3199999999999996E-2</v>
      </c>
      <c r="E10" s="78">
        <v>0.1308</v>
      </c>
      <c r="F10" s="78">
        <v>8.8699999999999987E-2</v>
      </c>
      <c r="G10" s="78">
        <v>4.87E-2</v>
      </c>
    </row>
    <row r="11" spans="1:15" ht="15.75" customHeight="1">
      <c r="B11" s="7" t="s">
        <v>123</v>
      </c>
      <c r="C11" s="78">
        <v>9.8400000000000001E-2</v>
      </c>
      <c r="D11" s="78">
        <v>9.8400000000000001E-2</v>
      </c>
      <c r="E11" s="78">
        <v>0.06</v>
      </c>
      <c r="F11" s="78">
        <v>3.9E-2</v>
      </c>
      <c r="G11" s="78">
        <v>3.5299999999999998E-2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0.63803419224999991</v>
      </c>
      <c r="D14" s="79">
        <v>0.63816869495700002</v>
      </c>
      <c r="E14" s="79">
        <v>0.63816869495700002</v>
      </c>
      <c r="F14" s="79">
        <v>0.43302120201400002</v>
      </c>
      <c r="G14" s="79">
        <v>0.43302120201400002</v>
      </c>
      <c r="H14" s="80">
        <v>0.34633000000000003</v>
      </c>
      <c r="I14" s="80">
        <v>0.34633000000000003</v>
      </c>
      <c r="J14" s="80">
        <v>0.34633000000000003</v>
      </c>
      <c r="K14" s="80">
        <v>0.34633000000000003</v>
      </c>
      <c r="L14" s="80">
        <v>0.29532000000000003</v>
      </c>
      <c r="M14" s="80">
        <v>0.29532000000000003</v>
      </c>
      <c r="N14" s="80">
        <v>0.29532000000000003</v>
      </c>
      <c r="O14" s="80">
        <v>0.29532000000000003</v>
      </c>
    </row>
    <row r="15" spans="1:15" ht="15.75" customHeight="1">
      <c r="B15" s="16" t="s">
        <v>68</v>
      </c>
      <c r="C15" s="77">
        <f t="shared" ref="C15:O15" si="0">iron_deficiency_anaemia*C14</f>
        <v>0.30373368476212975</v>
      </c>
      <c r="D15" s="77">
        <f t="shared" si="0"/>
        <v>0.303797714250367</v>
      </c>
      <c r="E15" s="77">
        <f t="shared" si="0"/>
        <v>0.303797714250367</v>
      </c>
      <c r="F15" s="77">
        <f t="shared" si="0"/>
        <v>0.20613805163643062</v>
      </c>
      <c r="G15" s="77">
        <f t="shared" si="0"/>
        <v>0.20613805163643062</v>
      </c>
      <c r="H15" s="77">
        <f t="shared" si="0"/>
        <v>0.16486904357384527</v>
      </c>
      <c r="I15" s="77">
        <f t="shared" si="0"/>
        <v>0.16486904357384527</v>
      </c>
      <c r="J15" s="77">
        <f t="shared" si="0"/>
        <v>0.16486904357384527</v>
      </c>
      <c r="K15" s="77">
        <f t="shared" si="0"/>
        <v>0.16486904357384527</v>
      </c>
      <c r="L15" s="77">
        <f t="shared" si="0"/>
        <v>0.14058593234264427</v>
      </c>
      <c r="M15" s="77">
        <f t="shared" si="0"/>
        <v>0.14058593234264427</v>
      </c>
      <c r="N15" s="77">
        <f t="shared" si="0"/>
        <v>0.14058593234264427</v>
      </c>
      <c r="O15" s="77">
        <f t="shared" si="0"/>
        <v>0.14058593234264427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0.20679999999999998</v>
      </c>
      <c r="D2" s="78">
        <v>0.10339999999999999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0.49349999999999999</v>
      </c>
      <c r="D3" s="78">
        <v>0.34259999999999996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0.23149999999999998</v>
      </c>
      <c r="D4" s="78">
        <v>0.50009999999999999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6.8200000000000038E-2</v>
      </c>
      <c r="D5" s="77">
        <f t="shared" ref="D5:G5" si="0">1-SUM(D2:D4)</f>
        <v>5.3900000000000059E-2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0.3145</v>
      </c>
      <c r="D2" s="28">
        <v>0.31669999999999998</v>
      </c>
      <c r="E2" s="28">
        <v>0.31599999999999995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0.11410000000000001</v>
      </c>
      <c r="D4" s="28">
        <v>0.1134</v>
      </c>
      <c r="E4" s="28">
        <v>0.1134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0.63816869495700002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0.34633000000000003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0.29532000000000003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0.10339999999999999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3.35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38.729999999999997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>
      <c r="A14" s="11" t="s">
        <v>189</v>
      </c>
      <c r="B14" s="85">
        <v>9.1999999999999998E-2</v>
      </c>
      <c r="C14" s="85">
        <v>0.95</v>
      </c>
      <c r="D14" s="86">
        <v>15.96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>
      <c r="A16" s="53" t="s">
        <v>57</v>
      </c>
      <c r="B16" s="85">
        <v>0.308</v>
      </c>
      <c r="C16" s="85">
        <v>0.95</v>
      </c>
      <c r="D16" s="86">
        <v>0.28000000000000003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8.3000000000000004E-2</v>
      </c>
      <c r="C18" s="85">
        <v>0.95</v>
      </c>
      <c r="D18" s="86">
        <v>2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29.45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3.13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27.21</v>
      </c>
      <c r="E22" s="86" t="s">
        <v>201</v>
      </c>
    </row>
    <row r="23" spans="1:5" ht="15.75" customHeight="1">
      <c r="A23" s="53" t="s">
        <v>34</v>
      </c>
      <c r="B23" s="85">
        <v>0.60599999999999998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23.08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23.06</v>
      </c>
      <c r="E25" s="86" t="s">
        <v>201</v>
      </c>
    </row>
    <row r="26" spans="1:5" ht="15.75" customHeight="1">
      <c r="A26" s="53" t="s">
        <v>137</v>
      </c>
      <c r="B26" s="85">
        <v>0.126</v>
      </c>
      <c r="C26" s="85">
        <v>0.95</v>
      </c>
      <c r="D26" s="86">
        <v>5.22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23.08</v>
      </c>
      <c r="E27" s="86" t="s">
        <v>201</v>
      </c>
    </row>
    <row r="28" spans="1:5" ht="15.75" customHeight="1">
      <c r="A28" s="53" t="s">
        <v>84</v>
      </c>
      <c r="B28" s="85">
        <v>0.375</v>
      </c>
      <c r="C28" s="85">
        <v>0.95</v>
      </c>
      <c r="D28" s="86">
        <v>0.72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68.48</v>
      </c>
      <c r="E29" s="86" t="s">
        <v>201</v>
      </c>
    </row>
    <row r="30" spans="1:5" ht="15.75" customHeight="1">
      <c r="A30" s="53" t="s">
        <v>67</v>
      </c>
      <c r="B30" s="85">
        <v>0.188</v>
      </c>
      <c r="C30" s="85">
        <v>0.95</v>
      </c>
      <c r="D30" s="86">
        <v>95.06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100.76</v>
      </c>
      <c r="E31" s="86" t="s">
        <v>201</v>
      </c>
    </row>
    <row r="32" spans="1:5" ht="15.75" customHeight="1">
      <c r="A32" s="53" t="s">
        <v>28</v>
      </c>
      <c r="B32" s="85">
        <v>0.16200000000000001</v>
      </c>
      <c r="C32" s="85">
        <v>0.95</v>
      </c>
      <c r="D32" s="86">
        <v>0.53</v>
      </c>
      <c r="E32" s="86" t="s">
        <v>201</v>
      </c>
    </row>
    <row r="33" spans="1:6" ht="15.75" customHeight="1">
      <c r="A33" s="53" t="s">
        <v>83</v>
      </c>
      <c r="B33" s="85">
        <v>0.2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0.60399999999999998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0.35899999999999999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0.80200000000000005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0.47600000000000003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4.0000000000000001E-3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0.56000000000000005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2020-09-01T10:33:31Z</dcterms:modified>
</cp:coreProperties>
</file>