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94F8C1D9-9542-4F8A-92E5-45E15CD3F4DC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<sst xmlns="http://schemas.openxmlformats.org/spreadsheetml/2006/main" count="1109" uniqueCount="272">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</sst>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4124045</v>
      </c>
    </row>
    <row r="8" spans="1:3" ht="15" customHeight="1">
      <c r="B8" s="7" t="s">
        <v>106</v>
      </c>
      <c r="C8" s="66">
        <v>0.13300000000000001</v>
      </c>
    </row>
    <row r="9" spans="1:3" ht="15" customHeight="1">
      <c r="B9" s="9" t="s">
        <v>107</v>
      </c>
      <c r="C9" s="67">
        <v>0.98</v>
      </c>
    </row>
    <row r="10" spans="1:3" ht="15" customHeight="1">
      <c r="B10" s="9" t="s">
        <v>105</v>
      </c>
      <c r="C10" s="67">
        <v>0.56591400146484405</v>
      </c>
    </row>
    <row r="11" spans="1:3" ht="15" customHeight="1">
      <c r="B11" s="7" t="s">
        <v>108</v>
      </c>
      <c r="C11" s="66">
        <v>0.873</v>
      </c>
    </row>
    <row r="12" spans="1:3" ht="15" customHeight="1">
      <c r="B12" s="7" t="s">
        <v>109</v>
      </c>
      <c r="C12" s="66">
        <v>0.55899999999999994</v>
      </c>
    </row>
    <row r="13" spans="1:3" ht="15" customHeight="1">
      <c r="B13" s="7" t="s">
        <v>110</v>
      </c>
      <c r="C13" s="66">
        <v>0.53799999999999992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8.5699999999999998E-2</v>
      </c>
    </row>
    <row r="24" spans="1:3" ht="15" customHeight="1">
      <c r="B24" s="20" t="s">
        <v>102</v>
      </c>
      <c r="C24" s="67">
        <v>0.43590000000000001</v>
      </c>
    </row>
    <row r="25" spans="1:3" ht="15" customHeight="1">
      <c r="B25" s="20" t="s">
        <v>103</v>
      </c>
      <c r="C25" s="67">
        <v>0.3957</v>
      </c>
    </row>
    <row r="26" spans="1:3" ht="15" customHeight="1">
      <c r="B26" s="20" t="s">
        <v>104</v>
      </c>
      <c r="C26" s="67">
        <v>8.2699999999999996E-2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0.23800000000000002</v>
      </c>
    </row>
    <row r="30" spans="1:3" ht="14.25" customHeight="1">
      <c r="B30" s="30" t="s">
        <v>76</v>
      </c>
      <c r="C30" s="69">
        <v>2.8999999999999998E-2</v>
      </c>
    </row>
    <row r="31" spans="1:3" ht="14.25" customHeight="1">
      <c r="B31" s="30" t="s">
        <v>77</v>
      </c>
      <c r="C31" s="69">
        <v>9.4E-2</v>
      </c>
    </row>
    <row r="32" spans="1:3" ht="14.25" customHeight="1">
      <c r="B32" s="30" t="s">
        <v>78</v>
      </c>
      <c r="C32" s="69">
        <v>0.63900000000000001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24.2</v>
      </c>
    </row>
    <row r="38" spans="1:5" ht="15" customHeight="1">
      <c r="B38" s="16" t="s">
        <v>91</v>
      </c>
      <c r="C38" s="68">
        <v>35.700000000000003</v>
      </c>
      <c r="D38" s="17"/>
      <c r="E38" s="18"/>
    </row>
    <row r="39" spans="1:5" ht="15" customHeight="1">
      <c r="B39" s="16" t="s">
        <v>90</v>
      </c>
      <c r="C39" s="68">
        <v>49.3</v>
      </c>
      <c r="D39" s="17"/>
      <c r="E39" s="17"/>
    </row>
    <row r="40" spans="1:5" ht="15" customHeight="1">
      <c r="B40" s="16" t="s">
        <v>171</v>
      </c>
      <c r="C40" s="68">
        <v>3.19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22.7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2.3300000000000001E-2</v>
      </c>
      <c r="D45" s="17"/>
    </row>
    <row r="46" spans="1:5" ht="15.75" customHeight="1">
      <c r="B46" s="16" t="s">
        <v>11</v>
      </c>
      <c r="C46" s="67">
        <v>0.1216</v>
      </c>
      <c r="D46" s="17"/>
    </row>
    <row r="47" spans="1:5" ht="15.75" customHeight="1">
      <c r="B47" s="16" t="s">
        <v>12</v>
      </c>
      <c r="C47" s="67">
        <v>0.21909999999999999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0.63600000000000001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2.9167824469400001</v>
      </c>
      <c r="D51" s="17"/>
    </row>
    <row r="52" spans="1:4" ht="15" customHeight="1">
      <c r="B52" s="16" t="s">
        <v>125</v>
      </c>
      <c r="C52" s="65">
        <v>2.6646979002700002</v>
      </c>
    </row>
    <row r="53" spans="1:4" ht="15.75" customHeight="1">
      <c r="B53" s="16" t="s">
        <v>126</v>
      </c>
      <c r="C53" s="65">
        <v>2.6646979002700002</v>
      </c>
    </row>
    <row r="54" spans="1:4" ht="15.75" customHeight="1">
      <c r="B54" s="16" t="s">
        <v>127</v>
      </c>
      <c r="C54" s="65">
        <v>2.0686461944199999</v>
      </c>
    </row>
    <row r="55" spans="1:4" ht="15.75" customHeight="1">
      <c r="B55" s="16" t="s">
        <v>128</v>
      </c>
      <c r="C55" s="65">
        <v>2.0686461944199999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0.36958770729498003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2.9167824469400001</v>
      </c>
      <c r="C2" s="26">
        <f>'Baseline year population inputs'!C52</f>
        <v>2.6646979002700002</v>
      </c>
      <c r="D2" s="26">
        <f>'Baseline year population inputs'!C53</f>
        <v>2.6646979002700002</v>
      </c>
      <c r="E2" s="26">
        <f>'Baseline year population inputs'!C54</f>
        <v>2.0686461944199999</v>
      </c>
      <c r="F2" s="26">
        <f>'Baseline year population inputs'!C55</f>
        <v>2.0686461944199999</v>
      </c>
    </row>
    <row r="3" spans="1:6" ht="15.75" customHeight="1">
      <c r="A3" s="3" t="s">
        <v>65</v>
      </c>
      <c r="B3" s="26">
        <f>frac_mam_1month * 2.6</f>
        <v>0.14274000000000001</v>
      </c>
      <c r="C3" s="26">
        <f>frac_mam_1_5months * 2.6</f>
        <v>0.14274000000000001</v>
      </c>
      <c r="D3" s="26">
        <f>frac_mam_6_11months * 2.6</f>
        <v>0.22853999999999999</v>
      </c>
      <c r="E3" s="26">
        <f>frac_mam_12_23months * 2.6</f>
        <v>0.15782000000000002</v>
      </c>
      <c r="F3" s="26">
        <f>frac_mam_24_59months * 2.6</f>
        <v>6.4220000000000013E-2</v>
      </c>
    </row>
    <row r="4" spans="1:6" ht="15.75" customHeight="1">
      <c r="A4" s="3" t="s">
        <v>66</v>
      </c>
      <c r="B4" s="26">
        <f>frac_sam_1month * 2.6</f>
        <v>3.6399999999999995E-2</v>
      </c>
      <c r="C4" s="26">
        <f>frac_sam_1_5months * 2.6</f>
        <v>3.6399999999999995E-2</v>
      </c>
      <c r="D4" s="26">
        <f>frac_sam_6_11months * 2.6</f>
        <v>5.9279999999999992E-2</v>
      </c>
      <c r="E4" s="26">
        <f>frac_sam_12_23months * 2.6</f>
        <v>3.1460000000000002E-2</v>
      </c>
      <c r="F4" s="26">
        <f>frac_sam_24_59months * 2.6</f>
        <v>5.83908E-3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0.13300000000000001</v>
      </c>
      <c r="E2" s="93">
        <f>food_insecure</f>
        <v>0.13300000000000001</v>
      </c>
      <c r="F2" s="93">
        <f>food_insecure</f>
        <v>0.13300000000000001</v>
      </c>
      <c r="G2" s="93">
        <f>food_insecure</f>
        <v>0.13300000000000001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0.13300000000000001</v>
      </c>
      <c r="F5" s="93">
        <f>food_insecure</f>
        <v>0.13300000000000001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2.9167824469400001</v>
      </c>
      <c r="D7" s="93">
        <f>diarrhoea_1_5mo</f>
        <v>2.6646979002700002</v>
      </c>
      <c r="E7" s="93">
        <f>diarrhoea_6_11mo</f>
        <v>2.6646979002700002</v>
      </c>
      <c r="F7" s="93">
        <f>diarrhoea_12_23mo</f>
        <v>2.0686461944199999</v>
      </c>
      <c r="G7" s="93">
        <f>diarrhoea_24_59mo</f>
        <v>2.0686461944199999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0.13300000000000001</v>
      </c>
      <c r="F8" s="93">
        <f>food_insecure</f>
        <v>0.13300000000000001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2.9167824469400001</v>
      </c>
      <c r="D12" s="93">
        <f>diarrhoea_1_5mo</f>
        <v>2.6646979002700002</v>
      </c>
      <c r="E12" s="93">
        <f>diarrhoea_6_11mo</f>
        <v>2.6646979002700002</v>
      </c>
      <c r="F12" s="93">
        <f>diarrhoea_12_23mo</f>
        <v>2.0686461944199999</v>
      </c>
      <c r="G12" s="93">
        <f>diarrhoea_24_59mo</f>
        <v>2.0686461944199999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0.13300000000000001</v>
      </c>
      <c r="I15" s="93">
        <f>food_insecure</f>
        <v>0.13300000000000001</v>
      </c>
      <c r="J15" s="93">
        <f>food_insecure</f>
        <v>0.13300000000000001</v>
      </c>
      <c r="K15" s="93">
        <f>food_insecure</f>
        <v>0.13300000000000001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0.873</v>
      </c>
      <c r="I18" s="93">
        <f>frac_PW_health_facility</f>
        <v>0.873</v>
      </c>
      <c r="J18" s="93">
        <f>frac_PW_health_facility</f>
        <v>0.873</v>
      </c>
      <c r="K18" s="93">
        <f>frac_PW_health_facility</f>
        <v>0.873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0.98</v>
      </c>
      <c r="I19" s="93">
        <f>frac_malaria_risk</f>
        <v>0.98</v>
      </c>
      <c r="J19" s="93">
        <f>frac_malaria_risk</f>
        <v>0.98</v>
      </c>
      <c r="K19" s="93">
        <f>frac_malaria_risk</f>
        <v>0.98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0.53799999999999992</v>
      </c>
      <c r="M24" s="93">
        <f>famplan_unmet_need</f>
        <v>0.53799999999999992</v>
      </c>
      <c r="N24" s="93">
        <f>famplan_unmet_need</f>
        <v>0.53799999999999992</v>
      </c>
      <c r="O24" s="93">
        <f>famplan_unmet_need</f>
        <v>0.53799999999999992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0.2248261612213133</v>
      </c>
      <c r="M25" s="93">
        <f>(1-food_insecure)*(0.49)+food_insecure*(0.7)</f>
        <v>0.51793</v>
      </c>
      <c r="N25" s="93">
        <f>(1-food_insecure)*(0.49)+food_insecure*(0.7)</f>
        <v>0.51793</v>
      </c>
      <c r="O25" s="93">
        <f>(1-food_insecure)*(0.49)+food_insecure*(0.7)</f>
        <v>0.51793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9.6354069094848546E-2</v>
      </c>
      <c r="M26" s="93">
        <f>(1-food_insecure)*(0.21)+food_insecure*(0.3)</f>
        <v>0.22196999999999997</v>
      </c>
      <c r="N26" s="93">
        <f>(1-food_insecure)*(0.21)+food_insecure*(0.3)</f>
        <v>0.22196999999999997</v>
      </c>
      <c r="O26" s="93">
        <f>(1-food_insecure)*(0.21)+food_insecure*(0.3)</f>
        <v>0.22196999999999997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0.11290576821899406</v>
      </c>
      <c r="M27" s="93">
        <f>(1-food_insecure)*(0.3)</f>
        <v>0.2601</v>
      </c>
      <c r="N27" s="93">
        <f>(1-food_insecure)*(0.3)</f>
        <v>0.2601</v>
      </c>
      <c r="O27" s="93">
        <f>(1-food_insecure)*(0.3)</f>
        <v>0.2601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0.56591400146484405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0.98</v>
      </c>
      <c r="D34" s="93">
        <f t="shared" si="3"/>
        <v>0.98</v>
      </c>
      <c r="E34" s="93">
        <f t="shared" si="3"/>
        <v>0.98</v>
      </c>
      <c r="F34" s="93">
        <f t="shared" si="3"/>
        <v>0.98</v>
      </c>
      <c r="G34" s="93">
        <f t="shared" si="3"/>
        <v>0.98</v>
      </c>
      <c r="H34" s="93">
        <f t="shared" si="3"/>
        <v>0.98</v>
      </c>
      <c r="I34" s="93">
        <f t="shared" si="3"/>
        <v>0.98</v>
      </c>
      <c r="J34" s="93">
        <f t="shared" si="3"/>
        <v>0.98</v>
      </c>
      <c r="K34" s="93">
        <f t="shared" si="3"/>
        <v>0.98</v>
      </c>
      <c r="L34" s="93">
        <f t="shared" si="3"/>
        <v>0.98</v>
      </c>
      <c r="M34" s="93">
        <f t="shared" si="3"/>
        <v>0.98</v>
      </c>
      <c r="N34" s="93">
        <f t="shared" si="3"/>
        <v>0.98</v>
      </c>
      <c r="O34" s="93">
        <f t="shared" si="3"/>
        <v>0.98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888399</v>
      </c>
      <c r="C2" s="75">
        <v>1514000</v>
      </c>
      <c r="D2" s="75">
        <v>2613000</v>
      </c>
      <c r="E2" s="75">
        <v>2112000</v>
      </c>
      <c r="F2" s="75">
        <v>1544000</v>
      </c>
      <c r="G2" s="22">
        <f t="shared" ref="G2:G40" si="0">C2+D2+E2+F2</f>
        <v>7783000</v>
      </c>
      <c r="H2" s="22">
        <f t="shared" ref="H2:H40" si="1">(B2 + stillbirth*B2/(1000-stillbirth))/(1-abortion)</f>
        <v>1044866.7511123186</v>
      </c>
      <c r="I2" s="22">
        <f>G2-H2</f>
        <v>6738133.2488876814</v>
      </c>
    </row>
    <row r="3" spans="1:9" ht="15.75" customHeight="1">
      <c r="A3" s="92">
        <f t="shared" ref="A3:A40" si="2">IF($A$2+ROW(A3)-2&lt;=end_year,A2+1,"")</f>
        <v>2021</v>
      </c>
      <c r="B3" s="74">
        <v>896336</v>
      </c>
      <c r="C3" s="75">
        <v>1545000</v>
      </c>
      <c r="D3" s="75">
        <v>2660000</v>
      </c>
      <c r="E3" s="75">
        <v>2149000</v>
      </c>
      <c r="F3" s="75">
        <v>1597000</v>
      </c>
      <c r="G3" s="22">
        <f t="shared" si="0"/>
        <v>7951000</v>
      </c>
      <c r="H3" s="22">
        <f t="shared" si="1"/>
        <v>1054201.6416328826</v>
      </c>
      <c r="I3" s="22">
        <f t="shared" ref="I3:I15" si="3">G3-H3</f>
        <v>6896798.3583671171</v>
      </c>
    </row>
    <row r="4" spans="1:9" ht="15.75" customHeight="1">
      <c r="A4" s="92">
        <f t="shared" si="2"/>
        <v>2022</v>
      </c>
      <c r="B4" s="74">
        <v>905367</v>
      </c>
      <c r="C4" s="75">
        <v>1579000</v>
      </c>
      <c r="D4" s="75">
        <v>2705000</v>
      </c>
      <c r="E4" s="75">
        <v>2183000</v>
      </c>
      <c r="F4" s="75">
        <v>1651000</v>
      </c>
      <c r="G4" s="22">
        <f t="shared" si="0"/>
        <v>8118000</v>
      </c>
      <c r="H4" s="22">
        <f t="shared" si="1"/>
        <v>1064823.211028273</v>
      </c>
      <c r="I4" s="22">
        <f t="shared" si="3"/>
        <v>7053176.7889717268</v>
      </c>
    </row>
    <row r="5" spans="1:9" ht="15.75" customHeight="1">
      <c r="A5" s="92" t="str">
        <f t="shared" si="2"/>
        <v/>
      </c>
      <c r="B5" s="74">
        <v>908034.73600000003</v>
      </c>
      <c r="C5" s="75">
        <v>1617000</v>
      </c>
      <c r="D5" s="75">
        <v>2749000</v>
      </c>
      <c r="E5" s="75">
        <v>2216000</v>
      </c>
      <c r="F5" s="75">
        <v>1705000</v>
      </c>
      <c r="G5" s="22">
        <f t="shared" si="0"/>
        <v>8287000</v>
      </c>
      <c r="H5" s="22">
        <f t="shared" si="1"/>
        <v>1067960.7974586328</v>
      </c>
      <c r="I5" s="22">
        <f t="shared" si="3"/>
        <v>7219039.2025413672</v>
      </c>
    </row>
    <row r="6" spans="1:9" ht="15.75" customHeight="1">
      <c r="A6" s="92" t="str">
        <f t="shared" si="2"/>
        <v/>
      </c>
      <c r="B6" s="74">
        <v>912665.16720000003</v>
      </c>
      <c r="C6" s="75">
        <v>1658000</v>
      </c>
      <c r="D6" s="75">
        <v>2797000</v>
      </c>
      <c r="E6" s="75">
        <v>2251000</v>
      </c>
      <c r="F6" s="75">
        <v>1758000</v>
      </c>
      <c r="G6" s="22">
        <f t="shared" si="0"/>
        <v>8464000</v>
      </c>
      <c r="H6" s="22">
        <f t="shared" si="1"/>
        <v>1073406.75541693</v>
      </c>
      <c r="I6" s="22">
        <f t="shared" si="3"/>
        <v>7390593.2445830703</v>
      </c>
    </row>
    <row r="7" spans="1:9" ht="15.75" customHeight="1">
      <c r="A7" s="92" t="str">
        <f t="shared" si="2"/>
        <v/>
      </c>
      <c r="B7" s="74">
        <v>916850.3</v>
      </c>
      <c r="C7" s="75">
        <v>1700000</v>
      </c>
      <c r="D7" s="75">
        <v>2847000</v>
      </c>
      <c r="E7" s="75">
        <v>2289000</v>
      </c>
      <c r="F7" s="75">
        <v>1807000</v>
      </c>
      <c r="G7" s="22">
        <f t="shared" si="0"/>
        <v>8643000</v>
      </c>
      <c r="H7" s="22">
        <f t="shared" si="1"/>
        <v>1078328.9875577919</v>
      </c>
      <c r="I7" s="22">
        <f t="shared" si="3"/>
        <v>7564671.0124422079</v>
      </c>
    </row>
    <row r="8" spans="1:9" ht="15.75" customHeight="1">
      <c r="A8" s="92" t="str">
        <f t="shared" si="2"/>
        <v/>
      </c>
      <c r="B8" s="74">
        <v>924333.13800000004</v>
      </c>
      <c r="C8" s="75">
        <v>1742000</v>
      </c>
      <c r="D8" s="75">
        <v>2900000</v>
      </c>
      <c r="E8" s="75">
        <v>2330000</v>
      </c>
      <c r="F8" s="75">
        <v>1854000</v>
      </c>
      <c r="G8" s="22">
        <f t="shared" si="0"/>
        <v>8826000</v>
      </c>
      <c r="H8" s="22">
        <f t="shared" si="1"/>
        <v>1087129.7275745634</v>
      </c>
      <c r="I8" s="22">
        <f t="shared" si="3"/>
        <v>7738870.2724254364</v>
      </c>
    </row>
    <row r="9" spans="1:9" ht="15.75" customHeight="1">
      <c r="A9" s="92" t="str">
        <f t="shared" si="2"/>
        <v/>
      </c>
      <c r="B9" s="74">
        <v>931532.62399999995</v>
      </c>
      <c r="C9" s="75">
        <v>1785000</v>
      </c>
      <c r="D9" s="75">
        <v>2955000</v>
      </c>
      <c r="E9" s="75">
        <v>2374000</v>
      </c>
      <c r="F9" s="75">
        <v>1898000</v>
      </c>
      <c r="G9" s="22">
        <f t="shared" si="0"/>
        <v>9012000</v>
      </c>
      <c r="H9" s="22">
        <f t="shared" si="1"/>
        <v>1095597.2107060149</v>
      </c>
      <c r="I9" s="22">
        <f t="shared" si="3"/>
        <v>7916402.7892939849</v>
      </c>
    </row>
    <row r="10" spans="1:9" ht="15.75" customHeight="1">
      <c r="A10" s="92" t="str">
        <f t="shared" si="2"/>
        <v/>
      </c>
      <c r="B10" s="74">
        <v>938419.10400000005</v>
      </c>
      <c r="C10" s="75">
        <v>1829000</v>
      </c>
      <c r="D10" s="75">
        <v>3012000</v>
      </c>
      <c r="E10" s="75">
        <v>2421000</v>
      </c>
      <c r="F10" s="75">
        <v>1940000</v>
      </c>
      <c r="G10" s="22">
        <f t="shared" si="0"/>
        <v>9202000</v>
      </c>
      <c r="H10" s="22">
        <f t="shared" si="1"/>
        <v>1103696.5601922257</v>
      </c>
      <c r="I10" s="22">
        <f t="shared" si="3"/>
        <v>8098303.4398077745</v>
      </c>
    </row>
    <row r="11" spans="1:9" ht="15.75" customHeight="1">
      <c r="A11" s="92" t="str">
        <f t="shared" si="2"/>
        <v/>
      </c>
      <c r="B11" s="74">
        <v>945041.52599999995</v>
      </c>
      <c r="C11" s="75">
        <v>1868000</v>
      </c>
      <c r="D11" s="75">
        <v>3075000</v>
      </c>
      <c r="E11" s="75">
        <v>2469000</v>
      </c>
      <c r="F11" s="75">
        <v>1979000</v>
      </c>
      <c r="G11" s="22">
        <f t="shared" si="0"/>
        <v>9391000</v>
      </c>
      <c r="H11" s="22">
        <f t="shared" si="1"/>
        <v>1111485.3449157954</v>
      </c>
      <c r="I11" s="22">
        <f t="shared" si="3"/>
        <v>8279514.6550842049</v>
      </c>
    </row>
    <row r="12" spans="1:9" ht="15.75" customHeight="1">
      <c r="A12" s="92" t="str">
        <f t="shared" si="2"/>
        <v/>
      </c>
      <c r="B12" s="74">
        <v>951369.94</v>
      </c>
      <c r="C12" s="75">
        <v>1901000</v>
      </c>
      <c r="D12" s="75">
        <v>3144000</v>
      </c>
      <c r="E12" s="75">
        <v>2514000</v>
      </c>
      <c r="F12" s="75">
        <v>2017000</v>
      </c>
      <c r="G12" s="22">
        <f t="shared" si="0"/>
        <v>9576000</v>
      </c>
      <c r="H12" s="22">
        <f t="shared" si="1"/>
        <v>1118928.3399843106</v>
      </c>
      <c r="I12" s="22">
        <f t="shared" si="3"/>
        <v>8457071.6600156892</v>
      </c>
    </row>
    <row r="13" spans="1:9" ht="15.75" customHeight="1">
      <c r="A13" s="92" t="str">
        <f t="shared" si="2"/>
        <v/>
      </c>
      <c r="B13" s="74">
        <v>1487000</v>
      </c>
      <c r="C13" s="75">
        <v>2567000</v>
      </c>
      <c r="D13" s="75">
        <v>2074000</v>
      </c>
      <c r="E13" s="75">
        <v>1493000</v>
      </c>
      <c r="F13" s="75">
        <v>5.7458047249999991E-2</v>
      </c>
      <c r="G13" s="22">
        <f t="shared" si="0"/>
        <v>6134000.0574580468</v>
      </c>
      <c r="H13" s="22">
        <f t="shared" si="1"/>
        <v>1748895.3262036738</v>
      </c>
      <c r="I13" s="22">
        <f t="shared" si="3"/>
        <v>4385104.7312543727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5.7458047249999991E-2</v>
      </c>
    </row>
    <row r="4" spans="1:8" ht="15.75" customHeight="1">
      <c r="B4" s="24" t="s">
        <v>7</v>
      </c>
      <c r="C4" s="76">
        <v>0.30585281619201343</v>
      </c>
    </row>
    <row r="5" spans="1:8" ht="15.75" customHeight="1">
      <c r="B5" s="24" t="s">
        <v>8</v>
      </c>
      <c r="C5" s="76">
        <v>8.2517813992626157E-2</v>
      </c>
    </row>
    <row r="6" spans="1:8" ht="15.75" customHeight="1">
      <c r="B6" s="24" t="s">
        <v>10</v>
      </c>
      <c r="C6" s="76">
        <v>0.14624106039985282</v>
      </c>
    </row>
    <row r="7" spans="1:8" ht="15.75" customHeight="1">
      <c r="B7" s="24" t="s">
        <v>13</v>
      </c>
      <c r="C7" s="76">
        <v>7.5572159207858119E-2</v>
      </c>
    </row>
    <row r="8" spans="1:8" ht="15.75" customHeight="1">
      <c r="B8" s="24" t="s">
        <v>14</v>
      </c>
      <c r="C8" s="76">
        <v>1.1131286593422152E-2</v>
      </c>
    </row>
    <row r="9" spans="1:8" ht="15.75" customHeight="1">
      <c r="B9" s="24" t="s">
        <v>27</v>
      </c>
      <c r="C9" s="76">
        <v>7.7402681871085927E-2</v>
      </c>
    </row>
    <row r="10" spans="1:8" ht="15.75" customHeight="1">
      <c r="B10" s="24" t="s">
        <v>15</v>
      </c>
      <c r="C10" s="76">
        <v>0.24382413449314155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0.169643766512525</v>
      </c>
      <c r="D14" s="76">
        <v>0.169643766512525</v>
      </c>
      <c r="E14" s="76">
        <v>0.118958083369833</v>
      </c>
      <c r="F14" s="76">
        <v>0.118958083369833</v>
      </c>
    </row>
    <row r="15" spans="1:8" ht="15.75" customHeight="1">
      <c r="B15" s="24" t="s">
        <v>16</v>
      </c>
      <c r="C15" s="76">
        <v>0.14222259254780001</v>
      </c>
      <c r="D15" s="76">
        <v>0.14222259254780001</v>
      </c>
      <c r="E15" s="76">
        <v>8.7914705160732118E-2</v>
      </c>
      <c r="F15" s="76">
        <v>8.7914705160732118E-2</v>
      </c>
    </row>
    <row r="16" spans="1:8" ht="15.75" customHeight="1">
      <c r="B16" s="24" t="s">
        <v>17</v>
      </c>
      <c r="C16" s="76">
        <v>4.91769721918996E-2</v>
      </c>
      <c r="D16" s="76">
        <v>4.91769721918996E-2</v>
      </c>
      <c r="E16" s="76">
        <v>4.1153941029620202E-2</v>
      </c>
      <c r="F16" s="76">
        <v>4.1153941029620202E-2</v>
      </c>
    </row>
    <row r="17" spans="1:8" ht="15.75" customHeight="1">
      <c r="B17" s="24" t="s">
        <v>18</v>
      </c>
      <c r="C17" s="76">
        <v>4.1615824795455001E-3</v>
      </c>
      <c r="D17" s="76">
        <v>4.1615824795455001E-3</v>
      </c>
      <c r="E17" s="76">
        <v>1.0178930296020501E-2</v>
      </c>
      <c r="F17" s="76">
        <v>1.0178930296020501E-2</v>
      </c>
    </row>
    <row r="18" spans="1:8" ht="15.75" customHeight="1">
      <c r="B18" s="24" t="s">
        <v>19</v>
      </c>
      <c r="C18" s="76">
        <v>0.19552689071384799</v>
      </c>
      <c r="D18" s="76">
        <v>0.19552689071384799</v>
      </c>
      <c r="E18" s="76">
        <v>0.30639096576858499</v>
      </c>
      <c r="F18" s="76">
        <v>0.30639096576858499</v>
      </c>
    </row>
    <row r="19" spans="1:8" ht="15.75" customHeight="1">
      <c r="B19" s="24" t="s">
        <v>20</v>
      </c>
      <c r="C19" s="76">
        <v>1.7104167655179699E-2</v>
      </c>
      <c r="D19" s="76">
        <v>1.7104167655179699E-2</v>
      </c>
      <c r="E19" s="76">
        <v>1.7584413261307299E-2</v>
      </c>
      <c r="F19" s="76">
        <v>1.7584413261307299E-2</v>
      </c>
    </row>
    <row r="20" spans="1:8" ht="15.75" customHeight="1">
      <c r="B20" s="24" t="s">
        <v>21</v>
      </c>
      <c r="C20" s="76">
        <v>4.79580863418268E-2</v>
      </c>
      <c r="D20" s="76">
        <v>4.79580863418268E-2</v>
      </c>
      <c r="E20" s="76">
        <v>1.6616298723822798E-2</v>
      </c>
      <c r="F20" s="76">
        <v>1.6616298723822798E-2</v>
      </c>
    </row>
    <row r="21" spans="1:8" ht="15.75" customHeight="1">
      <c r="B21" s="24" t="s">
        <v>22</v>
      </c>
      <c r="C21" s="76">
        <v>3.7652925047179202E-2</v>
      </c>
      <c r="D21" s="76">
        <v>3.7652925047179202E-2</v>
      </c>
      <c r="E21" s="76">
        <v>8.86876154003092E-2</v>
      </c>
      <c r="F21" s="76">
        <v>8.86876154003092E-2</v>
      </c>
    </row>
    <row r="22" spans="1:8" ht="15.75" customHeight="1">
      <c r="B22" s="24" t="s">
        <v>23</v>
      </c>
      <c r="C22" s="76">
        <v>0.33655301651019609</v>
      </c>
      <c r="D22" s="76">
        <v>0.33655301651019609</v>
      </c>
      <c r="E22" s="76">
        <v>0.31251504698976995</v>
      </c>
      <c r="F22" s="76">
        <v>0.31251504698976995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6.6600000000000006E-2</v>
      </c>
    </row>
    <row r="27" spans="1:8" ht="15.75" customHeight="1">
      <c r="B27" s="24" t="s">
        <v>39</v>
      </c>
      <c r="C27" s="76">
        <v>5.0000000000000001E-3</v>
      </c>
    </row>
    <row r="28" spans="1:8" ht="15.75" customHeight="1">
      <c r="B28" s="24" t="s">
        <v>40</v>
      </c>
      <c r="C28" s="76">
        <v>0.1246</v>
      </c>
    </row>
    <row r="29" spans="1:8" ht="15.75" customHeight="1">
      <c r="B29" s="24" t="s">
        <v>41</v>
      </c>
      <c r="C29" s="76">
        <v>0.1232</v>
      </c>
    </row>
    <row r="30" spans="1:8" ht="15.75" customHeight="1">
      <c r="B30" s="24" t="s">
        <v>42</v>
      </c>
      <c r="C30" s="76">
        <v>8.539999999999999E-2</v>
      </c>
    </row>
    <row r="31" spans="1:8" ht="15.75" customHeight="1">
      <c r="B31" s="24" t="s">
        <v>43</v>
      </c>
      <c r="C31" s="76">
        <v>0.1371</v>
      </c>
    </row>
    <row r="32" spans="1:8" ht="15.75" customHeight="1">
      <c r="B32" s="24" t="s">
        <v>44</v>
      </c>
      <c r="C32" s="76">
        <v>1.3899999999999999E-2</v>
      </c>
    </row>
    <row r="33" spans="2:3" ht="15.75" customHeight="1">
      <c r="B33" s="24" t="s">
        <v>45</v>
      </c>
      <c r="C33" s="76">
        <v>0.16289999999999999</v>
      </c>
    </row>
    <row r="34" spans="2:3" ht="15.75" customHeight="1">
      <c r="B34" s="24" t="s">
        <v>46</v>
      </c>
      <c r="C34" s="76">
        <v>0.28130000000447031</v>
      </c>
    </row>
    <row r="35" spans="2:3" ht="15.75" customHeight="1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0.75294641313043476</v>
      </c>
      <c r="D2" s="77">
        <v>0.74919999999999998</v>
      </c>
      <c r="E2" s="77">
        <v>0.67400000000000004</v>
      </c>
      <c r="F2" s="77">
        <v>0.5242</v>
      </c>
      <c r="G2" s="77">
        <v>0.45539999999999997</v>
      </c>
    </row>
    <row r="3" spans="1:15" ht="15.75" customHeight="1">
      <c r="A3" s="5"/>
      <c r="B3" s="11" t="s">
        <v>118</v>
      </c>
      <c r="C3" s="77">
        <v>0.161</v>
      </c>
      <c r="D3" s="77">
        <v>0.161</v>
      </c>
      <c r="E3" s="77">
        <v>0.2311</v>
      </c>
      <c r="F3" s="77">
        <v>0.2833</v>
      </c>
      <c r="G3" s="77">
        <v>0.31509999999999999</v>
      </c>
    </row>
    <row r="4" spans="1:15" ht="15.75" customHeight="1">
      <c r="A4" s="5"/>
      <c r="B4" s="11" t="s">
        <v>116</v>
      </c>
      <c r="C4" s="78">
        <v>4.6399999999999997E-2</v>
      </c>
      <c r="D4" s="78">
        <v>4.6500000000000007E-2</v>
      </c>
      <c r="E4" s="78">
        <v>7.8799999999999995E-2</v>
      </c>
      <c r="F4" s="78">
        <v>0.1356</v>
      </c>
      <c r="G4" s="78">
        <v>0.17180000000000001</v>
      </c>
    </row>
    <row r="5" spans="1:15" ht="15.75" customHeight="1">
      <c r="A5" s="5"/>
      <c r="B5" s="11" t="s">
        <v>119</v>
      </c>
      <c r="C5" s="78">
        <v>4.3200000000000002E-2</v>
      </c>
      <c r="D5" s="78">
        <v>4.3299999999999998E-2</v>
      </c>
      <c r="E5" s="78">
        <v>1.61E-2</v>
      </c>
      <c r="F5" s="78">
        <v>5.6900000000000006E-2</v>
      </c>
      <c r="G5" s="78">
        <v>5.7599999999999998E-2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0.7601</v>
      </c>
      <c r="D8" s="77">
        <v>0.7601</v>
      </c>
      <c r="E8" s="77">
        <v>0.65540000000000009</v>
      </c>
      <c r="F8" s="77">
        <v>0.68620000000000003</v>
      </c>
      <c r="G8" s="77">
        <v>0.81959999999999988</v>
      </c>
    </row>
    <row r="9" spans="1:15" ht="15.75" customHeight="1">
      <c r="B9" s="7" t="s">
        <v>121</v>
      </c>
      <c r="C9" s="77">
        <v>0.1709</v>
      </c>
      <c r="D9" s="77">
        <v>0.1709</v>
      </c>
      <c r="E9" s="77">
        <v>0.2339</v>
      </c>
      <c r="F9" s="77">
        <v>0.24100000000000002</v>
      </c>
      <c r="G9" s="77">
        <v>0.1535</v>
      </c>
    </row>
    <row r="10" spans="1:15" ht="15.75" customHeight="1">
      <c r="B10" s="7" t="s">
        <v>122</v>
      </c>
      <c r="C10" s="78">
        <v>5.4900000000000004E-2</v>
      </c>
      <c r="D10" s="78">
        <v>5.4900000000000004E-2</v>
      </c>
      <c r="E10" s="78">
        <v>8.7899999999999992E-2</v>
      </c>
      <c r="F10" s="78">
        <v>6.0700000000000004E-2</v>
      </c>
      <c r="G10" s="78">
        <v>2.4700000000000003E-2</v>
      </c>
    </row>
    <row r="11" spans="1:15" ht="15.75" customHeight="1">
      <c r="B11" s="7" t="s">
        <v>123</v>
      </c>
      <c r="C11" s="78">
        <v>1.3999999999999999E-2</v>
      </c>
      <c r="D11" s="78">
        <v>1.3999999999999999E-2</v>
      </c>
      <c r="E11" s="78">
        <v>2.2799999999999997E-2</v>
      </c>
      <c r="F11" s="78">
        <v>1.21E-2</v>
      </c>
      <c r="G11" s="78">
        <v>2.2458000000000001E-3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0.76397983049999996</v>
      </c>
      <c r="D14" s="79">
        <v>0.75075595181599997</v>
      </c>
      <c r="E14" s="79">
        <v>0.75075595181599997</v>
      </c>
      <c r="F14" s="79">
        <v>0.65965136567799998</v>
      </c>
      <c r="G14" s="79">
        <v>0.65965136567799998</v>
      </c>
      <c r="H14" s="80">
        <v>0.58074000000000003</v>
      </c>
      <c r="I14" s="80">
        <v>0.58074000000000003</v>
      </c>
      <c r="J14" s="80">
        <v>0.58074000000000003</v>
      </c>
      <c r="K14" s="80">
        <v>0.58074000000000003</v>
      </c>
      <c r="L14" s="80">
        <v>0.47125</v>
      </c>
      <c r="M14" s="80">
        <v>0.47125</v>
      </c>
      <c r="N14" s="80">
        <v>0.47125</v>
      </c>
      <c r="O14" s="80">
        <v>0.47125</v>
      </c>
    </row>
    <row r="15" spans="1:15" ht="15.75" customHeight="1">
      <c r="B15" s="16" t="s">
        <v>68</v>
      </c>
      <c r="C15" s="77">
        <f t="shared" ref="C15:O15" si="0">iron_deficiency_anaemia*C14</f>
        <v>0.28235755397410245</v>
      </c>
      <c r="D15" s="77">
        <f t="shared" si="0"/>
        <v>0.27747017096973592</v>
      </c>
      <c r="E15" s="77">
        <f t="shared" si="0"/>
        <v>0.27747017096973592</v>
      </c>
      <c r="F15" s="77">
        <f t="shared" si="0"/>
        <v>0.24379903585493448</v>
      </c>
      <c r="G15" s="77">
        <f t="shared" si="0"/>
        <v>0.24379903585493448</v>
      </c>
      <c r="H15" s="77">
        <f t="shared" si="0"/>
        <v>0.21463436513448672</v>
      </c>
      <c r="I15" s="77">
        <f t="shared" si="0"/>
        <v>0.21463436513448672</v>
      </c>
      <c r="J15" s="77">
        <f t="shared" si="0"/>
        <v>0.21463436513448672</v>
      </c>
      <c r="K15" s="77">
        <f t="shared" si="0"/>
        <v>0.21463436513448672</v>
      </c>
      <c r="L15" s="77">
        <f t="shared" si="0"/>
        <v>0.17416820706275934</v>
      </c>
      <c r="M15" s="77">
        <f t="shared" si="0"/>
        <v>0.17416820706275934</v>
      </c>
      <c r="N15" s="77">
        <f t="shared" si="0"/>
        <v>0.17416820706275934</v>
      </c>
      <c r="O15" s="77">
        <f t="shared" si="0"/>
        <v>0.17416820706275934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0.7702</v>
      </c>
      <c r="D2" s="78">
        <v>0.46840000000000004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0.13780000000000001</v>
      </c>
      <c r="D3" s="78">
        <v>0.23670000000000002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9.1999999999999998E-2</v>
      </c>
      <c r="D4" s="78">
        <v>0.28620000000000001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</v>
      </c>
      <c r="D5" s="77">
        <f t="shared" ref="D5:G5" si="0">1-SUM(D2:D4)</f>
        <v>8.69999999999993E-3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0.193</v>
      </c>
      <c r="D2" s="28">
        <v>0.19620000000000001</v>
      </c>
      <c r="E2" s="28">
        <v>0.19610000000000002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4.8594960000000006E-2</v>
      </c>
      <c r="D4" s="28">
        <v>4.7735859999999998E-2</v>
      </c>
      <c r="E4" s="28">
        <v>4.7735859999999998E-2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0.75075595181599997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0.58074000000000003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0.47125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0.46840000000000004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49.3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3.19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43.73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45.15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160.43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0.52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>
      <c r="A14" s="11" t="s">
        <v>189</v>
      </c>
      <c r="B14" s="85">
        <v>0.434</v>
      </c>
      <c r="C14" s="85">
        <v>0.95</v>
      </c>
      <c r="D14" s="86">
        <v>14.43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14.43</v>
      </c>
      <c r="E15" s="86" t="s">
        <v>201</v>
      </c>
    </row>
    <row r="16" spans="1:5" ht="15.75" customHeight="1">
      <c r="A16" s="53" t="s">
        <v>57</v>
      </c>
      <c r="B16" s="85">
        <v>0.78</v>
      </c>
      <c r="C16" s="85">
        <v>0.95</v>
      </c>
      <c r="D16" s="86">
        <v>0.37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0.38600000000000001</v>
      </c>
      <c r="C18" s="85">
        <v>0.95</v>
      </c>
      <c r="D18" s="86">
        <v>3.78</v>
      </c>
      <c r="E18" s="86" t="s">
        <v>201</v>
      </c>
    </row>
    <row r="19" spans="1:5" ht="15.75" customHeight="1">
      <c r="A19" s="53" t="s">
        <v>174</v>
      </c>
      <c r="B19" s="85">
        <v>0.217</v>
      </c>
      <c r="C19" s="85">
        <v>0.95</v>
      </c>
      <c r="D19" s="86">
        <v>3.78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48.45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4.3499999999999996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24.67</v>
      </c>
      <c r="E22" s="86" t="s">
        <v>201</v>
      </c>
    </row>
    <row r="23" spans="1:5" ht="15.75" customHeight="1">
      <c r="A23" s="53" t="s">
        <v>34</v>
      </c>
      <c r="B23" s="85">
        <v>0.73</v>
      </c>
      <c r="C23" s="85">
        <v>0.95</v>
      </c>
      <c r="D23" s="86">
        <v>4.78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20.79</v>
      </c>
      <c r="E24" s="86" t="s">
        <v>201</v>
      </c>
    </row>
    <row r="25" spans="1:5" ht="15.75" customHeight="1">
      <c r="A25" s="53" t="s">
        <v>87</v>
      </c>
      <c r="B25" s="85">
        <v>0.42399999999999999</v>
      </c>
      <c r="C25" s="85">
        <v>0.95</v>
      </c>
      <c r="D25" s="86">
        <v>20.79</v>
      </c>
      <c r="E25" s="86" t="s">
        <v>201</v>
      </c>
    </row>
    <row r="26" spans="1:5" ht="15.75" customHeight="1">
      <c r="A26" s="53" t="s">
        <v>137</v>
      </c>
      <c r="B26" s="85">
        <v>0.59399999999999997</v>
      </c>
      <c r="C26" s="85">
        <v>0.95</v>
      </c>
      <c r="D26" s="86">
        <v>4.96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20.79</v>
      </c>
      <c r="E27" s="86" t="s">
        <v>201</v>
      </c>
    </row>
    <row r="28" spans="1:5" ht="15.75" customHeight="1">
      <c r="A28" s="53" t="s">
        <v>84</v>
      </c>
      <c r="B28" s="85">
        <v>0.48599999999999999</v>
      </c>
      <c r="C28" s="85">
        <v>0.95</v>
      </c>
      <c r="D28" s="86">
        <v>0.72</v>
      </c>
      <c r="E28" s="86" t="s">
        <v>201</v>
      </c>
    </row>
    <row r="29" spans="1:5" ht="15.75" customHeight="1">
      <c r="A29" s="53" t="s">
        <v>58</v>
      </c>
      <c r="B29" s="85">
        <v>0.217</v>
      </c>
      <c r="C29" s="85">
        <v>0.95</v>
      </c>
      <c r="D29" s="86">
        <v>79.87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189.85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201.25</v>
      </c>
      <c r="E31" s="86" t="s">
        <v>201</v>
      </c>
    </row>
    <row r="32" spans="1:5" ht="15.75" customHeight="1">
      <c r="A32" s="53" t="s">
        <v>28</v>
      </c>
      <c r="B32" s="85">
        <v>0.38600000000000001</v>
      </c>
      <c r="C32" s="85">
        <v>0.95</v>
      </c>
      <c r="D32" s="86">
        <v>0.76</v>
      </c>
      <c r="E32" s="86" t="s">
        <v>201</v>
      </c>
    </row>
    <row r="33" spans="1:6" ht="15.75" customHeight="1">
      <c r="A33" s="53" t="s">
        <v>83</v>
      </c>
      <c r="B33" s="85">
        <v>0.23600000000000002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0.245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0.185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0.81499999999999995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0.26600000000000001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7.400000000000001E-2</v>
      </c>
      <c r="C38" s="85">
        <v>0.95</v>
      </c>
      <c r="D38" s="86">
        <v>2.0099999999999998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2020-09-01T10:34:01Z</dcterms:modified>
</cp:coreProperties>
</file>