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9FE179F7-AFE5-4E19-B7B3-11362D1A4E3D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<sst xmlns="http://schemas.openxmlformats.org/spreadsheetml/2006/main" count="1109" uniqueCount="272">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</sst>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7881615</v>
      </c>
    </row>
    <row r="8" spans="1:3" ht="15" customHeight="1">
      <c r="B8" s="7" t="s">
        <v>106</v>
      </c>
      <c r="C8" s="66">
        <v>0.41700000000000004</v>
      </c>
    </row>
    <row r="9" spans="1:3" ht="15" customHeight="1">
      <c r="B9" s="9" t="s">
        <v>107</v>
      </c>
      <c r="C9" s="67">
        <v>0.73</v>
      </c>
    </row>
    <row r="10" spans="1:3" ht="15" customHeight="1">
      <c r="B10" s="9" t="s">
        <v>105</v>
      </c>
      <c r="C10" s="67">
        <v>0.32603321080000003</v>
      </c>
    </row>
    <row r="11" spans="1:3" ht="15" customHeight="1">
      <c r="B11" s="7" t="s">
        <v>108</v>
      </c>
      <c r="C11" s="66">
        <v>0.59899999999999998</v>
      </c>
    </row>
    <row r="12" spans="1:3" ht="15" customHeight="1">
      <c r="B12" s="7" t="s">
        <v>109</v>
      </c>
      <c r="C12" s="66">
        <v>0.8</v>
      </c>
    </row>
    <row r="13" spans="1:3" ht="15" customHeight="1">
      <c r="B13" s="7" t="s">
        <v>110</v>
      </c>
      <c r="C13" s="66">
        <v>0.501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0.10880000000000001</v>
      </c>
    </row>
    <row r="24" spans="1:3" ht="15" customHeight="1">
      <c r="B24" s="20" t="s">
        <v>102</v>
      </c>
      <c r="C24" s="67">
        <v>0.53739999999999999</v>
      </c>
    </row>
    <row r="25" spans="1:3" ht="15" customHeight="1">
      <c r="B25" s="20" t="s">
        <v>103</v>
      </c>
      <c r="C25" s="67">
        <v>0.29330000000000001</v>
      </c>
    </row>
    <row r="26" spans="1:3" ht="15" customHeight="1">
      <c r="B26" s="20" t="s">
        <v>104</v>
      </c>
      <c r="C26" s="67">
        <v>6.0499999999999998E-2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0.17800000000000002</v>
      </c>
    </row>
    <row r="30" spans="1:3" ht="14.25" customHeight="1">
      <c r="B30" s="30" t="s">
        <v>76</v>
      </c>
      <c r="C30" s="69">
        <v>7.2999999999999995E-2</v>
      </c>
    </row>
    <row r="31" spans="1:3" ht="14.25" customHeight="1">
      <c r="B31" s="30" t="s">
        <v>77</v>
      </c>
      <c r="C31" s="69">
        <v>0.17100000000000001</v>
      </c>
    </row>
    <row r="32" spans="1:3" ht="14.25" customHeight="1">
      <c r="B32" s="30" t="s">
        <v>78</v>
      </c>
      <c r="C32" s="69">
        <v>0.57800000001490115</v>
      </c>
    </row>
    <row r="33" spans="1:5" ht="13.2">
      <c r="B33" s="32" t="s">
        <v>129</v>
      </c>
      <c r="C33" s="91">
        <f>SUM(C29:C32)</f>
        <v>1.0000000000149012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20.2</v>
      </c>
    </row>
    <row r="38" spans="1:5" ht="15" customHeight="1">
      <c r="B38" s="16" t="s">
        <v>91</v>
      </c>
      <c r="C38" s="68">
        <v>35.4</v>
      </c>
      <c r="D38" s="17"/>
      <c r="E38" s="18"/>
    </row>
    <row r="39" spans="1:5" ht="15" customHeight="1">
      <c r="B39" s="16" t="s">
        <v>90</v>
      </c>
      <c r="C39" s="68">
        <v>49</v>
      </c>
      <c r="D39" s="17"/>
      <c r="E39" s="17"/>
    </row>
    <row r="40" spans="1:5" ht="15" customHeight="1">
      <c r="B40" s="16" t="s">
        <v>171</v>
      </c>
      <c r="C40" s="68">
        <v>0.24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13.8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2.18E-2</v>
      </c>
      <c r="D45" s="17"/>
    </row>
    <row r="46" spans="1:5" ht="15.75" customHeight="1">
      <c r="B46" s="16" t="s">
        <v>11</v>
      </c>
      <c r="C46" s="67">
        <v>0.1139</v>
      </c>
      <c r="D46" s="17"/>
    </row>
    <row r="47" spans="1:5" ht="15.75" customHeight="1">
      <c r="B47" s="16" t="s">
        <v>12</v>
      </c>
      <c r="C47" s="67">
        <v>0.22320000000000001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0.64109999999999989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3.20864924895</v>
      </c>
      <c r="D51" s="17"/>
    </row>
    <row r="52" spans="1:4" ht="15" customHeight="1">
      <c r="B52" s="16" t="s">
        <v>125</v>
      </c>
      <c r="C52" s="65">
        <v>3.0063933079599896</v>
      </c>
    </row>
    <row r="53" spans="1:4" ht="15.75" customHeight="1">
      <c r="B53" s="16" t="s">
        <v>126</v>
      </c>
      <c r="C53" s="65">
        <v>3.0063933079599896</v>
      </c>
    </row>
    <row r="54" spans="1:4" ht="15.75" customHeight="1">
      <c r="B54" s="16" t="s">
        <v>127</v>
      </c>
      <c r="C54" s="65">
        <v>1.95806134333</v>
      </c>
    </row>
    <row r="55" spans="1:4" ht="15.75" customHeight="1">
      <c r="B55" s="16" t="s">
        <v>128</v>
      </c>
      <c r="C55" s="65">
        <v>1.95806134333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0.4883266131707833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3.20864924895</v>
      </c>
      <c r="C2" s="26">
        <f>'Baseline year population inputs'!C52</f>
        <v>3.0063933079599896</v>
      </c>
      <c r="D2" s="26">
        <f>'Baseline year population inputs'!C53</f>
        <v>3.0063933079599896</v>
      </c>
      <c r="E2" s="26">
        <f>'Baseline year population inputs'!C54</f>
        <v>1.95806134333</v>
      </c>
      <c r="F2" s="26">
        <f>'Baseline year population inputs'!C55</f>
        <v>1.95806134333</v>
      </c>
    </row>
    <row r="3" spans="1:6" ht="15.75" customHeight="1">
      <c r="A3" s="3" t="s">
        <v>65</v>
      </c>
      <c r="B3" s="26">
        <f>frac_mam_1month * 2.6</f>
        <v>7.9820000000000002E-2</v>
      </c>
      <c r="C3" s="26">
        <f>frac_mam_1_5months * 2.6</f>
        <v>7.9820000000000002E-2</v>
      </c>
      <c r="D3" s="26">
        <f>frac_mam_6_11months * 2.6</f>
        <v>0.15365999999999999</v>
      </c>
      <c r="E3" s="26">
        <f>frac_mam_12_23months * 2.6</f>
        <v>7.6700000000000004E-2</v>
      </c>
      <c r="F3" s="26">
        <f>frac_mam_24_59months * 2.6</f>
        <v>3.3800000000000004E-2</v>
      </c>
    </row>
    <row r="4" spans="1:6" ht="15.75" customHeight="1">
      <c r="A4" s="3" t="s">
        <v>66</v>
      </c>
      <c r="B4" s="26">
        <f>frac_sam_1month * 2.6</f>
        <v>0.12246000000000001</v>
      </c>
      <c r="C4" s="26">
        <f>frac_sam_1_5months * 2.6</f>
        <v>0.12246000000000001</v>
      </c>
      <c r="D4" s="26">
        <f>frac_sam_6_11months * 2.6</f>
        <v>8.8660000000000003E-2</v>
      </c>
      <c r="E4" s="26">
        <f>frac_sam_12_23months * 2.6</f>
        <v>3.2500000000000001E-2</v>
      </c>
      <c r="F4" s="26">
        <f>frac_sam_24_59months * 2.6</f>
        <v>1.109914E-2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0.41700000000000004</v>
      </c>
      <c r="E2" s="93">
        <f>food_insecure</f>
        <v>0.41700000000000004</v>
      </c>
      <c r="F2" s="93">
        <f>food_insecure</f>
        <v>0.41700000000000004</v>
      </c>
      <c r="G2" s="93">
        <f>food_insecure</f>
        <v>0.41700000000000004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0.41700000000000004</v>
      </c>
      <c r="F5" s="93">
        <f>food_insecure</f>
        <v>0.41700000000000004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3.20864924895</v>
      </c>
      <c r="D7" s="93">
        <f>diarrhoea_1_5mo</f>
        <v>3.0063933079599896</v>
      </c>
      <c r="E7" s="93">
        <f>diarrhoea_6_11mo</f>
        <v>3.0063933079599896</v>
      </c>
      <c r="F7" s="93">
        <f>diarrhoea_12_23mo</f>
        <v>1.95806134333</v>
      </c>
      <c r="G7" s="93">
        <f>diarrhoea_24_59mo</f>
        <v>1.95806134333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0.41700000000000004</v>
      </c>
      <c r="F8" s="93">
        <f>food_insecure</f>
        <v>0.41700000000000004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3.20864924895</v>
      </c>
      <c r="D12" s="93">
        <f>diarrhoea_1_5mo</f>
        <v>3.0063933079599896</v>
      </c>
      <c r="E12" s="93">
        <f>diarrhoea_6_11mo</f>
        <v>3.0063933079599896</v>
      </c>
      <c r="F12" s="93">
        <f>diarrhoea_12_23mo</f>
        <v>1.95806134333</v>
      </c>
      <c r="G12" s="93">
        <f>diarrhoea_24_59mo</f>
        <v>1.95806134333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0.41700000000000004</v>
      </c>
      <c r="I15" s="93">
        <f>food_insecure</f>
        <v>0.41700000000000004</v>
      </c>
      <c r="J15" s="93">
        <f>food_insecure</f>
        <v>0.41700000000000004</v>
      </c>
      <c r="K15" s="93">
        <f>food_insecure</f>
        <v>0.41700000000000004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0.59899999999999998</v>
      </c>
      <c r="I18" s="93">
        <f>frac_PW_health_facility</f>
        <v>0.59899999999999998</v>
      </c>
      <c r="J18" s="93">
        <f>frac_PW_health_facility</f>
        <v>0.59899999999999998</v>
      </c>
      <c r="K18" s="93">
        <f>frac_PW_health_facility</f>
        <v>0.59899999999999998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0.73</v>
      </c>
      <c r="I19" s="93">
        <f>frac_malaria_risk</f>
        <v>0.73</v>
      </c>
      <c r="J19" s="93">
        <f>frac_malaria_risk</f>
        <v>0.73</v>
      </c>
      <c r="K19" s="93">
        <f>frac_malaria_risk</f>
        <v>0.73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0.501</v>
      </c>
      <c r="M24" s="93">
        <f>famplan_unmet_need</f>
        <v>0.501</v>
      </c>
      <c r="N24" s="93">
        <f>famplan_unmet_need</f>
        <v>0.501</v>
      </c>
      <c r="O24" s="93">
        <f>famplan_unmet_need</f>
        <v>0.501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0.38926299843824397</v>
      </c>
      <c r="M25" s="93">
        <f>(1-food_insecure)*(0.49)+food_insecure*(0.7)</f>
        <v>0.57756999999999992</v>
      </c>
      <c r="N25" s="93">
        <f>(1-food_insecure)*(0.49)+food_insecure*(0.7)</f>
        <v>0.57756999999999992</v>
      </c>
      <c r="O25" s="93">
        <f>(1-food_insecure)*(0.49)+food_insecure*(0.7)</f>
        <v>0.57756999999999992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0.16682699933067599</v>
      </c>
      <c r="M26" s="93">
        <f>(1-food_insecure)*(0.21)+food_insecure*(0.3)</f>
        <v>0.24753</v>
      </c>
      <c r="N26" s="93">
        <f>(1-food_insecure)*(0.21)+food_insecure*(0.3)</f>
        <v>0.24753</v>
      </c>
      <c r="O26" s="93">
        <f>(1-food_insecure)*(0.21)+food_insecure*(0.3)</f>
        <v>0.24753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0.11787679143107997</v>
      </c>
      <c r="M27" s="93">
        <f>(1-food_insecure)*(0.3)</f>
        <v>0.17489999999999997</v>
      </c>
      <c r="N27" s="93">
        <f>(1-food_insecure)*(0.3)</f>
        <v>0.17489999999999997</v>
      </c>
      <c r="O27" s="93">
        <f>(1-food_insecure)*(0.3)</f>
        <v>0.17489999999999997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0.73</v>
      </c>
      <c r="D34" s="93">
        <f t="shared" si="3"/>
        <v>0.73</v>
      </c>
      <c r="E34" s="93">
        <f t="shared" si="3"/>
        <v>0.73</v>
      </c>
      <c r="F34" s="93">
        <f t="shared" si="3"/>
        <v>0.73</v>
      </c>
      <c r="G34" s="93">
        <f t="shared" si="3"/>
        <v>0.73</v>
      </c>
      <c r="H34" s="93">
        <f t="shared" si="3"/>
        <v>0.73</v>
      </c>
      <c r="I34" s="93">
        <f t="shared" si="3"/>
        <v>0.73</v>
      </c>
      <c r="J34" s="93">
        <f t="shared" si="3"/>
        <v>0.73</v>
      </c>
      <c r="K34" s="93">
        <f t="shared" si="3"/>
        <v>0.73</v>
      </c>
      <c r="L34" s="93">
        <f t="shared" si="3"/>
        <v>0.73</v>
      </c>
      <c r="M34" s="93">
        <f t="shared" si="3"/>
        <v>0.73</v>
      </c>
      <c r="N34" s="93">
        <f t="shared" si="3"/>
        <v>0.73</v>
      </c>
      <c r="O34" s="93">
        <f t="shared" si="3"/>
        <v>0.73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1668065</v>
      </c>
      <c r="C2" s="75">
        <v>2666000</v>
      </c>
      <c r="D2" s="75">
        <v>4009000</v>
      </c>
      <c r="E2" s="75">
        <v>3565000</v>
      </c>
      <c r="F2" s="75">
        <v>3340000</v>
      </c>
      <c r="G2" s="22">
        <f t="shared" ref="G2:G40" si="0">C2+D2+E2+F2</f>
        <v>13580000</v>
      </c>
      <c r="H2" s="22">
        <f t="shared" ref="H2:H40" si="1">(B2 + stillbirth*B2/(1000-stillbirth))/(1-abortion)</f>
        <v>1944145.2970533594</v>
      </c>
      <c r="I2" s="22">
        <f>G2-H2</f>
        <v>11635854.702946641</v>
      </c>
    </row>
    <row r="3" spans="1:9" ht="15.75" customHeight="1">
      <c r="A3" s="92">
        <f t="shared" ref="A3:A40" si="2">IF($A$2+ROW(A3)-2&lt;=end_year,A2+1,"")</f>
        <v>2021</v>
      </c>
      <c r="B3" s="74">
        <v>1692961</v>
      </c>
      <c r="C3" s="75">
        <v>2753000</v>
      </c>
      <c r="D3" s="75">
        <v>4153000</v>
      </c>
      <c r="E3" s="75">
        <v>3503000</v>
      </c>
      <c r="F3" s="75">
        <v>3374000</v>
      </c>
      <c r="G3" s="22">
        <f t="shared" si="0"/>
        <v>13783000</v>
      </c>
      <c r="H3" s="22">
        <f t="shared" si="1"/>
        <v>1973161.8169824032</v>
      </c>
      <c r="I3" s="22">
        <f t="shared" ref="I3:I15" si="3">G3-H3</f>
        <v>11809838.183017597</v>
      </c>
    </row>
    <row r="4" spans="1:9" ht="15.75" customHeight="1">
      <c r="A4" s="92">
        <f t="shared" si="2"/>
        <v>2022</v>
      </c>
      <c r="B4" s="74">
        <v>1710864</v>
      </c>
      <c r="C4" s="75">
        <v>2841000</v>
      </c>
      <c r="D4" s="75">
        <v>4303000</v>
      </c>
      <c r="E4" s="75">
        <v>3421000</v>
      </c>
      <c r="F4" s="75">
        <v>3405000</v>
      </c>
      <c r="G4" s="22">
        <f t="shared" si="0"/>
        <v>13970000</v>
      </c>
      <c r="H4" s="22">
        <f t="shared" si="1"/>
        <v>1994027.9302652464</v>
      </c>
      <c r="I4" s="22">
        <f t="shared" si="3"/>
        <v>11975972.069734754</v>
      </c>
    </row>
    <row r="5" spans="1:9" ht="15.75" customHeight="1">
      <c r="A5" s="92" t="str">
        <f t="shared" si="2"/>
        <v/>
      </c>
      <c r="B5" s="74">
        <v>2013460.8948000004</v>
      </c>
      <c r="C5" s="75">
        <v>2929000</v>
      </c>
      <c r="D5" s="75">
        <v>4459000</v>
      </c>
      <c r="E5" s="75">
        <v>3320000</v>
      </c>
      <c r="F5" s="75">
        <v>3434000</v>
      </c>
      <c r="G5" s="22">
        <f t="shared" si="0"/>
        <v>14142000</v>
      </c>
      <c r="H5" s="22">
        <f t="shared" si="1"/>
        <v>2346707.4301218893</v>
      </c>
      <c r="I5" s="22">
        <f t="shared" si="3"/>
        <v>11795292.569878111</v>
      </c>
    </row>
    <row r="6" spans="1:9" ht="15.75" customHeight="1">
      <c r="A6" s="92" t="str">
        <f t="shared" si="2"/>
        <v/>
      </c>
      <c r="B6" s="74">
        <v>2051365.2912000006</v>
      </c>
      <c r="C6" s="75">
        <v>3017000</v>
      </c>
      <c r="D6" s="75">
        <v>4621000</v>
      </c>
      <c r="E6" s="75">
        <v>3203000</v>
      </c>
      <c r="F6" s="75">
        <v>3461000</v>
      </c>
      <c r="G6" s="22">
        <f t="shared" si="0"/>
        <v>14302000</v>
      </c>
      <c r="H6" s="22">
        <f t="shared" si="1"/>
        <v>2390885.357240261</v>
      </c>
      <c r="I6" s="22">
        <f t="shared" si="3"/>
        <v>11911114.642759738</v>
      </c>
    </row>
    <row r="7" spans="1:9" ht="15.75" customHeight="1">
      <c r="A7" s="92" t="str">
        <f t="shared" si="2"/>
        <v/>
      </c>
      <c r="B7" s="74">
        <v>2089098.6249999998</v>
      </c>
      <c r="C7" s="75">
        <v>3106000</v>
      </c>
      <c r="D7" s="75">
        <v>4786000</v>
      </c>
      <c r="E7" s="75">
        <v>3074000</v>
      </c>
      <c r="F7" s="75">
        <v>3487000</v>
      </c>
      <c r="G7" s="22">
        <f t="shared" si="0"/>
        <v>14453000</v>
      </c>
      <c r="H7" s="22">
        <f t="shared" si="1"/>
        <v>2434863.9093047269</v>
      </c>
      <c r="I7" s="22">
        <f t="shared" si="3"/>
        <v>12018136.090695273</v>
      </c>
    </row>
    <row r="8" spans="1:9" ht="15.75" customHeight="1">
      <c r="A8" s="92" t="str">
        <f t="shared" si="2"/>
        <v/>
      </c>
      <c r="B8" s="74">
        <v>2126339.6639999999</v>
      </c>
      <c r="C8" s="75">
        <v>3192000</v>
      </c>
      <c r="D8" s="75">
        <v>4953000</v>
      </c>
      <c r="E8" s="75">
        <v>2932000</v>
      </c>
      <c r="F8" s="75">
        <v>3508000</v>
      </c>
      <c r="G8" s="22">
        <f t="shared" si="0"/>
        <v>14585000</v>
      </c>
      <c r="H8" s="22">
        <f t="shared" si="1"/>
        <v>2478268.6871936163</v>
      </c>
      <c r="I8" s="22">
        <f t="shared" si="3"/>
        <v>12106731.312806383</v>
      </c>
    </row>
    <row r="9" spans="1:9" ht="15.75" customHeight="1">
      <c r="A9" s="92" t="str">
        <f t="shared" si="2"/>
        <v/>
      </c>
      <c r="B9" s="74">
        <v>2163295.6559999995</v>
      </c>
      <c r="C9" s="75">
        <v>3279000</v>
      </c>
      <c r="D9" s="75">
        <v>5123000</v>
      </c>
      <c r="E9" s="75">
        <v>2781000</v>
      </c>
      <c r="F9" s="75">
        <v>3526000</v>
      </c>
      <c r="G9" s="22">
        <f t="shared" si="0"/>
        <v>14709000</v>
      </c>
      <c r="H9" s="22">
        <f t="shared" si="1"/>
        <v>2521341.2401485322</v>
      </c>
      <c r="I9" s="22">
        <f t="shared" si="3"/>
        <v>12187658.759851467</v>
      </c>
    </row>
    <row r="10" spans="1:9" ht="15.75" customHeight="1">
      <c r="A10" s="92" t="str">
        <f t="shared" si="2"/>
        <v/>
      </c>
      <c r="B10" s="74">
        <v>2199844.3199999994</v>
      </c>
      <c r="C10" s="75">
        <v>3367000</v>
      </c>
      <c r="D10" s="75">
        <v>5298000</v>
      </c>
      <c r="E10" s="75">
        <v>2625000</v>
      </c>
      <c r="F10" s="75">
        <v>3534000</v>
      </c>
      <c r="G10" s="22">
        <f t="shared" si="0"/>
        <v>14824000</v>
      </c>
      <c r="H10" s="22">
        <f t="shared" si="1"/>
        <v>2563939.0485248142</v>
      </c>
      <c r="I10" s="22">
        <f t="shared" si="3"/>
        <v>12260060.951475186</v>
      </c>
    </row>
    <row r="11" spans="1:9" ht="15.75" customHeight="1">
      <c r="A11" s="92" t="str">
        <f t="shared" si="2"/>
        <v/>
      </c>
      <c r="B11" s="74">
        <v>2235939.2249999996</v>
      </c>
      <c r="C11" s="75">
        <v>3457000</v>
      </c>
      <c r="D11" s="75">
        <v>5475000</v>
      </c>
      <c r="E11" s="75">
        <v>2477000</v>
      </c>
      <c r="F11" s="75">
        <v>3525000</v>
      </c>
      <c r="G11" s="22">
        <f t="shared" si="0"/>
        <v>14934000</v>
      </c>
      <c r="H11" s="22">
        <f t="shared" si="1"/>
        <v>2606007.9965594159</v>
      </c>
      <c r="I11" s="22">
        <f t="shared" si="3"/>
        <v>12327992.003440585</v>
      </c>
    </row>
    <row r="12" spans="1:9" ht="15.75" customHeight="1">
      <c r="A12" s="92" t="str">
        <f t="shared" si="2"/>
        <v/>
      </c>
      <c r="B12" s="74">
        <v>2271498.36</v>
      </c>
      <c r="C12" s="75">
        <v>3549000</v>
      </c>
      <c r="D12" s="75">
        <v>5653000</v>
      </c>
      <c r="E12" s="75">
        <v>2345000</v>
      </c>
      <c r="F12" s="75">
        <v>3491000</v>
      </c>
      <c r="G12" s="22">
        <f t="shared" si="0"/>
        <v>15038000</v>
      </c>
      <c r="H12" s="22">
        <f t="shared" si="1"/>
        <v>2647452.4996678298</v>
      </c>
      <c r="I12" s="22">
        <f t="shared" si="3"/>
        <v>12390547.500332169</v>
      </c>
    </row>
    <row r="13" spans="1:9" ht="15.75" customHeight="1">
      <c r="A13" s="92" t="str">
        <f t="shared" si="2"/>
        <v/>
      </c>
      <c r="B13" s="74">
        <v>2577000</v>
      </c>
      <c r="C13" s="75">
        <v>3864000</v>
      </c>
      <c r="D13" s="75">
        <v>3601000</v>
      </c>
      <c r="E13" s="75">
        <v>3301000</v>
      </c>
      <c r="F13" s="75">
        <v>4.3786709000000007E-2</v>
      </c>
      <c r="G13" s="22">
        <f t="shared" si="0"/>
        <v>10766000.043786708</v>
      </c>
      <c r="H13" s="22">
        <f t="shared" si="1"/>
        <v>3003517.5071154349</v>
      </c>
      <c r="I13" s="22">
        <f t="shared" si="3"/>
        <v>7762482.5366712734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4.3786709000000007E-2</v>
      </c>
    </row>
    <row r="4" spans="1:8" ht="15.75" customHeight="1">
      <c r="B4" s="24" t="s">
        <v>7</v>
      </c>
      <c r="C4" s="76">
        <v>0.18270938102595083</v>
      </c>
    </row>
    <row r="5" spans="1:8" ht="15.75" customHeight="1">
      <c r="B5" s="24" t="s">
        <v>8</v>
      </c>
      <c r="C5" s="76">
        <v>6.0475686187860568E-2</v>
      </c>
    </row>
    <row r="6" spans="1:8" ht="15.75" customHeight="1">
      <c r="B6" s="24" t="s">
        <v>10</v>
      </c>
      <c r="C6" s="76">
        <v>0.13852788178166736</v>
      </c>
    </row>
    <row r="7" spans="1:8" ht="15.75" customHeight="1">
      <c r="B7" s="24" t="s">
        <v>13</v>
      </c>
      <c r="C7" s="76">
        <v>0.11932947673152822</v>
      </c>
    </row>
    <row r="8" spans="1:8" ht="15.75" customHeight="1">
      <c r="B8" s="24" t="s">
        <v>14</v>
      </c>
      <c r="C8" s="76">
        <v>1.3440432993119714E-2</v>
      </c>
    </row>
    <row r="9" spans="1:8" ht="15.75" customHeight="1">
      <c r="B9" s="24" t="s">
        <v>27</v>
      </c>
      <c r="C9" s="76">
        <v>9.2415067424804875E-2</v>
      </c>
    </row>
    <row r="10" spans="1:8" ht="15.75" customHeight="1">
      <c r="B10" s="24" t="s">
        <v>15</v>
      </c>
      <c r="C10" s="76">
        <v>0.34931536485506842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9.6793987508594997E-2</v>
      </c>
      <c r="D14" s="76">
        <v>9.6793987508594997E-2</v>
      </c>
      <c r="E14" s="76">
        <v>8.5712086866165299E-2</v>
      </c>
      <c r="F14" s="76">
        <v>8.5712086866165299E-2</v>
      </c>
    </row>
    <row r="15" spans="1:8" ht="15.75" customHeight="1">
      <c r="B15" s="24" t="s">
        <v>16</v>
      </c>
      <c r="C15" s="76">
        <v>0.12599629565131801</v>
      </c>
      <c r="D15" s="76">
        <v>0.12599629565131801</v>
      </c>
      <c r="E15" s="76">
        <v>8.5150243497287795E-2</v>
      </c>
      <c r="F15" s="76">
        <v>8.5150243497287795E-2</v>
      </c>
    </row>
    <row r="16" spans="1:8" ht="15.75" customHeight="1">
      <c r="B16" s="24" t="s">
        <v>17</v>
      </c>
      <c r="C16" s="76">
        <v>5.3711502089456298E-2</v>
      </c>
      <c r="D16" s="76">
        <v>5.3711502089456298E-2</v>
      </c>
      <c r="E16" s="76">
        <v>5.5062491452445197E-2</v>
      </c>
      <c r="F16" s="76">
        <v>5.5062491452445197E-2</v>
      </c>
    </row>
    <row r="17" spans="1:8" ht="15.75" customHeight="1">
      <c r="B17" s="24" t="s">
        <v>18</v>
      </c>
      <c r="C17" s="76">
        <v>1.2755023662881998E-2</v>
      </c>
      <c r="D17" s="76">
        <v>1.2755023662881998E-2</v>
      </c>
      <c r="E17" s="76">
        <v>3.6407738408761797E-2</v>
      </c>
      <c r="F17" s="76">
        <v>3.6407738408761797E-2</v>
      </c>
    </row>
    <row r="18" spans="1:8" ht="15.75" customHeight="1">
      <c r="B18" s="24" t="s">
        <v>19</v>
      </c>
      <c r="C18" s="76">
        <v>0.22160400992455501</v>
      </c>
      <c r="D18" s="76">
        <v>0.22160400992455501</v>
      </c>
      <c r="E18" s="76">
        <v>0.301283323482266</v>
      </c>
      <c r="F18" s="76">
        <v>0.301283323482266</v>
      </c>
    </row>
    <row r="19" spans="1:8" ht="15.75" customHeight="1">
      <c r="B19" s="24" t="s">
        <v>20</v>
      </c>
      <c r="C19" s="76">
        <v>3.2682683981590903E-2</v>
      </c>
      <c r="D19" s="76">
        <v>3.2682683981590903E-2</v>
      </c>
      <c r="E19" s="76">
        <v>3.9136294957397101E-2</v>
      </c>
      <c r="F19" s="76">
        <v>3.9136294957397101E-2</v>
      </c>
    </row>
    <row r="20" spans="1:8" ht="15.75" customHeight="1">
      <c r="B20" s="24" t="s">
        <v>21</v>
      </c>
      <c r="C20" s="76">
        <v>9.9547777039089097E-2</v>
      </c>
      <c r="D20" s="76">
        <v>9.9547777039089097E-2</v>
      </c>
      <c r="E20" s="76">
        <v>4.5829207014767198E-2</v>
      </c>
      <c r="F20" s="76">
        <v>4.5829207014767198E-2</v>
      </c>
    </row>
    <row r="21" spans="1:8" ht="15.75" customHeight="1">
      <c r="B21" s="24" t="s">
        <v>22</v>
      </c>
      <c r="C21" s="76">
        <v>2.4456956297457901E-2</v>
      </c>
      <c r="D21" s="76">
        <v>2.4456956297457901E-2</v>
      </c>
      <c r="E21" s="76">
        <v>6.9698265046368099E-2</v>
      </c>
      <c r="F21" s="76">
        <v>6.9698265046368099E-2</v>
      </c>
    </row>
    <row r="22" spans="1:8" ht="15.75" customHeight="1">
      <c r="B22" s="24" t="s">
        <v>23</v>
      </c>
      <c r="C22" s="76">
        <v>0.3324517638450557</v>
      </c>
      <c r="D22" s="76">
        <v>0.3324517638450557</v>
      </c>
      <c r="E22" s="76">
        <v>0.28172034927454148</v>
      </c>
      <c r="F22" s="76">
        <v>0.28172034927454148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8.4700000000000011E-2</v>
      </c>
    </row>
    <row r="27" spans="1:8" ht="15.75" customHeight="1">
      <c r="B27" s="24" t="s">
        <v>39</v>
      </c>
      <c r="C27" s="76">
        <v>8.3999999999999995E-3</v>
      </c>
    </row>
    <row r="28" spans="1:8" ht="15.75" customHeight="1">
      <c r="B28" s="24" t="s">
        <v>40</v>
      </c>
      <c r="C28" s="76">
        <v>0.14949999999999999</v>
      </c>
    </row>
    <row r="29" spans="1:8" ht="15.75" customHeight="1">
      <c r="B29" s="24" t="s">
        <v>41</v>
      </c>
      <c r="C29" s="76">
        <v>0.16159999999999999</v>
      </c>
    </row>
    <row r="30" spans="1:8" ht="15.75" customHeight="1">
      <c r="B30" s="24" t="s">
        <v>42</v>
      </c>
      <c r="C30" s="76">
        <v>0.10050000000000001</v>
      </c>
    </row>
    <row r="31" spans="1:8" ht="15.75" customHeight="1">
      <c r="B31" s="24" t="s">
        <v>43</v>
      </c>
      <c r="C31" s="76">
        <v>0.105</v>
      </c>
    </row>
    <row r="32" spans="1:8" ht="15.75" customHeight="1">
      <c r="B32" s="24" t="s">
        <v>44</v>
      </c>
      <c r="C32" s="76">
        <v>1.7899999999999999E-2</v>
      </c>
    </row>
    <row r="33" spans="2:3" ht="15.75" customHeight="1">
      <c r="B33" s="24" t="s">
        <v>45</v>
      </c>
      <c r="C33" s="76">
        <v>8.1300000000000011E-2</v>
      </c>
    </row>
    <row r="34" spans="2:3" ht="15.75" customHeight="1">
      <c r="B34" s="24" t="s">
        <v>46</v>
      </c>
      <c r="C34" s="76">
        <v>0.29109999999776481</v>
      </c>
    </row>
    <row r="35" spans="2:3" ht="15.75" customHeight="1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0.71678027534246569</v>
      </c>
      <c r="D2" s="77">
        <v>0.71140000000000003</v>
      </c>
      <c r="E2" s="77">
        <v>0.59260000000000002</v>
      </c>
      <c r="F2" s="77">
        <v>0.31340000000000001</v>
      </c>
      <c r="G2" s="77">
        <v>0.36859999999999998</v>
      </c>
    </row>
    <row r="3" spans="1:15" ht="15.75" customHeight="1">
      <c r="A3" s="5"/>
      <c r="B3" s="11" t="s">
        <v>118</v>
      </c>
      <c r="C3" s="77">
        <v>0.1699</v>
      </c>
      <c r="D3" s="77">
        <v>0.1699</v>
      </c>
      <c r="E3" s="77">
        <v>0.23929999999999998</v>
      </c>
      <c r="F3" s="77">
        <v>0.31190000000000001</v>
      </c>
      <c r="G3" s="77">
        <v>0.3246</v>
      </c>
    </row>
    <row r="4" spans="1:15" ht="15.75" customHeight="1">
      <c r="A4" s="5"/>
      <c r="B4" s="11" t="s">
        <v>116</v>
      </c>
      <c r="C4" s="78">
        <v>6.4899999999999999E-2</v>
      </c>
      <c r="D4" s="78">
        <v>6.5000000000000002E-2</v>
      </c>
      <c r="E4" s="78">
        <v>0.1116</v>
      </c>
      <c r="F4" s="78">
        <v>0.26929999999999998</v>
      </c>
      <c r="G4" s="78">
        <v>0.21</v>
      </c>
    </row>
    <row r="5" spans="1:15" ht="15.75" customHeight="1">
      <c r="A5" s="5"/>
      <c r="B5" s="11" t="s">
        <v>119</v>
      </c>
      <c r="C5" s="78">
        <v>5.3600000000000002E-2</v>
      </c>
      <c r="D5" s="78">
        <v>5.3699999999999998E-2</v>
      </c>
      <c r="E5" s="78">
        <v>5.6600000000000004E-2</v>
      </c>
      <c r="F5" s="78">
        <v>0.10539999999999999</v>
      </c>
      <c r="G5" s="78">
        <v>9.6799999999999997E-2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0.77060000000000006</v>
      </c>
      <c r="D8" s="77">
        <v>0.77060000000000006</v>
      </c>
      <c r="E8" s="77">
        <v>0.73599999999999999</v>
      </c>
      <c r="F8" s="77">
        <v>0.83989999999999998</v>
      </c>
      <c r="G8" s="77">
        <v>0.89879999999999993</v>
      </c>
    </row>
    <row r="9" spans="1:15" ht="15.75" customHeight="1">
      <c r="B9" s="7" t="s">
        <v>121</v>
      </c>
      <c r="C9" s="77">
        <v>0.15160000000000001</v>
      </c>
      <c r="D9" s="77">
        <v>0.15160000000000001</v>
      </c>
      <c r="E9" s="77">
        <v>0.17069999999999999</v>
      </c>
      <c r="F9" s="77">
        <v>0.11810000000000001</v>
      </c>
      <c r="G9" s="77">
        <v>8.3900000000000002E-2</v>
      </c>
    </row>
    <row r="10" spans="1:15" ht="15.75" customHeight="1">
      <c r="B10" s="7" t="s">
        <v>122</v>
      </c>
      <c r="C10" s="78">
        <v>3.0699999999999998E-2</v>
      </c>
      <c r="D10" s="78">
        <v>3.0699999999999998E-2</v>
      </c>
      <c r="E10" s="78">
        <v>5.91E-2</v>
      </c>
      <c r="F10" s="78">
        <v>2.9500000000000002E-2</v>
      </c>
      <c r="G10" s="78">
        <v>1.3000000000000001E-2</v>
      </c>
    </row>
    <row r="11" spans="1:15" ht="15.75" customHeight="1">
      <c r="B11" s="7" t="s">
        <v>123</v>
      </c>
      <c r="C11" s="78">
        <v>4.7100000000000003E-2</v>
      </c>
      <c r="D11" s="78">
        <v>4.7100000000000003E-2</v>
      </c>
      <c r="E11" s="78">
        <v>3.4099999999999998E-2</v>
      </c>
      <c r="F11" s="78">
        <v>1.2500000000000001E-2</v>
      </c>
      <c r="G11" s="78">
        <v>4.2689E-3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0.61790281525000001</v>
      </c>
      <c r="D14" s="79">
        <v>0.60589571573699996</v>
      </c>
      <c r="E14" s="79">
        <v>0.60589571573699996</v>
      </c>
      <c r="F14" s="79">
        <v>0.48655756599299999</v>
      </c>
      <c r="G14" s="79">
        <v>0.48655756599299999</v>
      </c>
      <c r="H14" s="80">
        <v>0.35124</v>
      </c>
      <c r="I14" s="80">
        <v>0.35124</v>
      </c>
      <c r="J14" s="80">
        <v>0.35124</v>
      </c>
      <c r="K14" s="80">
        <v>0.35124</v>
      </c>
      <c r="L14" s="80">
        <v>0.28909000000000001</v>
      </c>
      <c r="M14" s="80">
        <v>0.28909000000000001</v>
      </c>
      <c r="N14" s="80">
        <v>0.28909000000000001</v>
      </c>
      <c r="O14" s="80">
        <v>0.28909000000000001</v>
      </c>
    </row>
    <row r="15" spans="1:15" ht="15.75" customHeight="1">
      <c r="B15" s="16" t="s">
        <v>68</v>
      </c>
      <c r="C15" s="77">
        <f t="shared" ref="C15:O15" si="0">iron_deficiency_anaemia*C14</f>
        <v>0.30173838903972472</v>
      </c>
      <c r="D15" s="77">
        <f t="shared" si="0"/>
        <v>0.29587500280053686</v>
      </c>
      <c r="E15" s="77">
        <f t="shared" si="0"/>
        <v>0.29587500280053686</v>
      </c>
      <c r="F15" s="77">
        <f t="shared" si="0"/>
        <v>0.23759900831398156</v>
      </c>
      <c r="G15" s="77">
        <f t="shared" si="0"/>
        <v>0.23759900831398156</v>
      </c>
      <c r="H15" s="77">
        <f t="shared" si="0"/>
        <v>0.17151983961010592</v>
      </c>
      <c r="I15" s="77">
        <f t="shared" si="0"/>
        <v>0.17151983961010592</v>
      </c>
      <c r="J15" s="77">
        <f t="shared" si="0"/>
        <v>0.17151983961010592</v>
      </c>
      <c r="K15" s="77">
        <f t="shared" si="0"/>
        <v>0.17151983961010592</v>
      </c>
      <c r="L15" s="77">
        <f t="shared" si="0"/>
        <v>0.14117034060154174</v>
      </c>
      <c r="M15" s="77">
        <f t="shared" si="0"/>
        <v>0.14117034060154174</v>
      </c>
      <c r="N15" s="77">
        <f t="shared" si="0"/>
        <v>0.14117034060154174</v>
      </c>
      <c r="O15" s="77">
        <f t="shared" si="0"/>
        <v>0.14117034060154174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0.81099999999999994</v>
      </c>
      <c r="D2" s="78">
        <v>0.57600000000000007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0.11710000000000001</v>
      </c>
      <c r="D3" s="78">
        <v>0.15570000000000001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5.2900000000000003E-2</v>
      </c>
      <c r="D4" s="78">
        <v>0.24210000000000001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1.9000000000000128E-2</v>
      </c>
      <c r="D5" s="77">
        <f t="shared" ref="D5:G5" si="0">1-SUM(D2:D4)</f>
        <v>2.6200000000000001E-2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0.28539999999999999</v>
      </c>
      <c r="D2" s="28">
        <v>0.28670000000000001</v>
      </c>
      <c r="E2" s="28">
        <v>0.2868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3.6799999999999999E-2</v>
      </c>
      <c r="D4" s="28">
        <v>3.6600000000000001E-2</v>
      </c>
      <c r="E4" s="28">
        <v>3.6600000000000001E-2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0.60589571573699996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0.35124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0.28909000000000001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0.57600000000000007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49</v>
      </c>
      <c r="D13" s="28"/>
      <c r="E13" s="28"/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0.24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37.42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45.01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61.52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0.24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1.1000000000000001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1.1000000000000001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1.1000000000000001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1.1000000000000001</v>
      </c>
      <c r="E13" s="86" t="s">
        <v>201</v>
      </c>
    </row>
    <row r="14" spans="1:5" ht="15.75" customHeight="1">
      <c r="A14" s="11" t="s">
        <v>189</v>
      </c>
      <c r="B14" s="85">
        <v>0.16500000000000001</v>
      </c>
      <c r="C14" s="85">
        <v>0.95</v>
      </c>
      <c r="D14" s="86">
        <v>14.29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14.29</v>
      </c>
      <c r="E15" s="86" t="s">
        <v>201</v>
      </c>
    </row>
    <row r="16" spans="1:5" ht="15.75" customHeight="1">
      <c r="A16" s="53" t="s">
        <v>57</v>
      </c>
      <c r="B16" s="85">
        <v>0.45899999999999996</v>
      </c>
      <c r="C16" s="85">
        <v>0.95</v>
      </c>
      <c r="D16" s="86">
        <v>0.23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>
      <c r="A18" s="53" t="s">
        <v>175</v>
      </c>
      <c r="B18" s="85">
        <v>0.47299999999999998</v>
      </c>
      <c r="C18" s="85">
        <v>0.95</v>
      </c>
      <c r="D18" s="86">
        <v>1.53</v>
      </c>
      <c r="E18" s="86" t="s">
        <v>201</v>
      </c>
    </row>
    <row r="19" spans="1:5" ht="15.75" customHeight="1">
      <c r="A19" s="53" t="s">
        <v>174</v>
      </c>
      <c r="B19" s="85">
        <v>0.23300000000000001</v>
      </c>
      <c r="C19" s="85">
        <v>0.95</v>
      </c>
      <c r="D19" s="86">
        <v>1.53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124.45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2.0299999999999998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24.35</v>
      </c>
      <c r="E22" s="86" t="s">
        <v>201</v>
      </c>
    </row>
    <row r="23" spans="1:5" ht="15.75" customHeight="1">
      <c r="A23" s="53" t="s">
        <v>34</v>
      </c>
      <c r="B23" s="85">
        <v>0.80799999999999994</v>
      </c>
      <c r="C23" s="85">
        <v>0.95</v>
      </c>
      <c r="D23" s="86">
        <v>4.6900000000000004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20.65</v>
      </c>
      <c r="E24" s="86" t="s">
        <v>201</v>
      </c>
    </row>
    <row r="25" spans="1:5" ht="15.75" customHeight="1">
      <c r="A25" s="53" t="s">
        <v>87</v>
      </c>
      <c r="B25" s="85">
        <v>0.23100000000000001</v>
      </c>
      <c r="C25" s="85">
        <v>0.95</v>
      </c>
      <c r="D25" s="86">
        <v>20.65</v>
      </c>
      <c r="E25" s="86" t="s">
        <v>201</v>
      </c>
    </row>
    <row r="26" spans="1:5" ht="15.75" customHeight="1">
      <c r="A26" s="53" t="s">
        <v>137</v>
      </c>
      <c r="B26" s="85">
        <v>0.22600000000000001</v>
      </c>
      <c r="C26" s="85">
        <v>0.95</v>
      </c>
      <c r="D26" s="86">
        <v>4.6399999999999997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20.65</v>
      </c>
      <c r="E27" s="86" t="s">
        <v>201</v>
      </c>
    </row>
    <row r="28" spans="1:5" ht="15.75" customHeight="1">
      <c r="A28" s="53" t="s">
        <v>84</v>
      </c>
      <c r="B28" s="85">
        <v>0.46700000000000003</v>
      </c>
      <c r="C28" s="85">
        <v>0.95</v>
      </c>
      <c r="D28" s="86">
        <v>0.63</v>
      </c>
      <c r="E28" s="86" t="s">
        <v>201</v>
      </c>
    </row>
    <row r="29" spans="1:5" ht="15.75" customHeight="1">
      <c r="A29" s="53" t="s">
        <v>58</v>
      </c>
      <c r="B29" s="85">
        <v>0.23300000000000001</v>
      </c>
      <c r="C29" s="85">
        <v>0.95</v>
      </c>
      <c r="D29" s="86">
        <v>65.47</v>
      </c>
      <c r="E29" s="86" t="s">
        <v>201</v>
      </c>
    </row>
    <row r="30" spans="1:5" ht="15.75" customHeight="1">
      <c r="A30" s="53" t="s">
        <v>67</v>
      </c>
      <c r="B30" s="85">
        <v>2.1000000000000001E-2</v>
      </c>
      <c r="C30" s="85">
        <v>0.95</v>
      </c>
      <c r="D30" s="86">
        <v>200.81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212.86</v>
      </c>
      <c r="E31" s="86" t="s">
        <v>201</v>
      </c>
    </row>
    <row r="32" spans="1:5" ht="15.75" customHeight="1">
      <c r="A32" s="53" t="s">
        <v>28</v>
      </c>
      <c r="B32" s="85">
        <v>0.20800000000000002</v>
      </c>
      <c r="C32" s="85">
        <v>0.95</v>
      </c>
      <c r="D32" s="86">
        <v>0.44</v>
      </c>
      <c r="E32" s="86" t="s">
        <v>201</v>
      </c>
    </row>
    <row r="33" spans="1:6" ht="15.75" customHeight="1">
      <c r="A33" s="53" t="s">
        <v>83</v>
      </c>
      <c r="B33" s="85">
        <v>0.27399999999999997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>
        <v>0.76300000000000001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>
        <v>0.185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>
        <v>0.49099999999999999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>
        <v>0.10400000000000001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>
        <v>0.40299999999999997</v>
      </c>
      <c r="C38" s="85">
        <v>0.95</v>
      </c>
      <c r="D38" s="86">
        <v>1.92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0.46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2020-09-01T10:32:29Z</dcterms:modified>
</cp:coreProperties>
</file>