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D290AA7-5B20-4C94-97B9-FD6ED2AABD38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15" i="2"/>
  <c r="A37" i="2"/>
  <c r="A28" i="2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21" i="2"/>
  <c r="I22" i="2"/>
  <c r="I30" i="2"/>
  <c r="I36" i="2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I8" i="2" s="1"/>
  <c r="H9" i="2"/>
  <c r="H10" i="2"/>
  <c r="H11" i="2"/>
  <c r="H12" i="2"/>
  <c r="H13" i="2"/>
  <c r="H14" i="2"/>
  <c r="H15" i="2"/>
  <c r="C20" i="1"/>
  <c r="G3" i="2"/>
  <c r="G4" i="2"/>
  <c r="G5" i="2"/>
  <c r="I5" i="2" s="1"/>
  <c r="G6" i="2"/>
  <c r="G7" i="2"/>
  <c r="G8" i="2"/>
  <c r="G9" i="2"/>
  <c r="G10" i="2"/>
  <c r="I10" i="2" s="1"/>
  <c r="G11" i="2"/>
  <c r="G12" i="2"/>
  <c r="I12" i="2" s="1"/>
  <c r="G13" i="2"/>
  <c r="I13" i="2" s="1"/>
  <c r="G14" i="2"/>
  <c r="G15" i="2"/>
  <c r="G2" i="2"/>
  <c r="I2" i="2" s="1"/>
  <c r="A27" i="2" l="1"/>
  <c r="A40" i="2"/>
  <c r="A30" i="2"/>
  <c r="A31" i="2"/>
  <c r="A17" i="2"/>
  <c r="A38" i="2"/>
  <c r="A32" i="2"/>
  <c r="A36" i="2"/>
  <c r="I6" i="2"/>
  <c r="C6" i="51"/>
  <c r="A35" i="2"/>
  <c r="A21" i="2"/>
  <c r="A16" i="2"/>
  <c r="C8" i="51"/>
  <c r="A39" i="2"/>
  <c r="A25" i="2"/>
  <c r="A18" i="2"/>
  <c r="A19" i="2"/>
  <c r="A23" i="2"/>
  <c r="A14" i="2"/>
  <c r="I11" i="2"/>
  <c r="I3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<sst xmlns="http://schemas.openxmlformats.org/spreadsheetml/2006/main" count="1097" uniqueCount="272">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</sst>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4.7</v>
      </c>
    </row>
    <row r="38" spans="1:5" ht="15" customHeight="1" x14ac:dyDescent="0.25">
      <c r="B38" s="16" t="s">
        <v>91</v>
      </c>
      <c r="C38" s="71">
        <v>8</v>
      </c>
      <c r="D38" s="17"/>
      <c r="E38" s="18"/>
    </row>
    <row r="39" spans="1:5" ht="15" customHeight="1" x14ac:dyDescent="0.25">
      <c r="B39" s="16" t="s">
        <v>90</v>
      </c>
      <c r="C39" s="71">
        <v>9.3000000000000007</v>
      </c>
      <c r="D39" s="17"/>
      <c r="E39" s="17"/>
    </row>
    <row r="40" spans="1:5" ht="15" customHeight="1" x14ac:dyDescent="0.25">
      <c r="B40" s="16" t="s">
        <v>171</v>
      </c>
      <c r="C40" s="71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1.5700000000000002E-2</v>
      </c>
      <c r="D45" s="17"/>
    </row>
    <row r="46" spans="1:5" ht="15.75" customHeight="1" x14ac:dyDescent="0.25">
      <c r="B46" s="16" t="s">
        <v>11</v>
      </c>
      <c r="C46" s="67">
        <v>5.5099999999999996E-2</v>
      </c>
      <c r="D46" s="17"/>
    </row>
    <row r="47" spans="1:5" ht="15.75" customHeight="1" x14ac:dyDescent="0.25">
      <c r="B47" s="16" t="s">
        <v>12</v>
      </c>
      <c r="C47" s="67">
        <v>4.8799999999999996E-2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0.88039999999999996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2.5801536223274928</v>
      </c>
      <c r="D51" s="17"/>
    </row>
    <row r="52" spans="1:4" ht="15" customHeight="1" x14ac:dyDescent="0.25">
      <c r="B52" s="16" t="s">
        <v>125</v>
      </c>
      <c r="C52" s="72">
        <v>2.1600193410799999</v>
      </c>
    </row>
    <row r="53" spans="1:4" ht="15.75" customHeight="1" x14ac:dyDescent="0.25">
      <c r="B53" s="16" t="s">
        <v>126</v>
      </c>
      <c r="C53" s="72">
        <v>2.1600193410799999</v>
      </c>
    </row>
    <row r="54" spans="1:4" ht="15.75" customHeight="1" x14ac:dyDescent="0.25">
      <c r="B54" s="16" t="s">
        <v>127</v>
      </c>
      <c r="C54" s="72">
        <v>1.0219352105499899</v>
      </c>
    </row>
    <row r="55" spans="1:4" ht="15.75" customHeight="1" x14ac:dyDescent="0.25">
      <c r="B55" s="16" t="s">
        <v>128</v>
      </c>
      <c r="C55" s="72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>
        <f>frac_mam_1month * 2.6</f>
        <v>3.1200000259999996E-2</v>
      </c>
      <c r="C3" s="26">
        <f>frac_mam_1_5months * 2.6</f>
        <v>3.1200000259999996E-2</v>
      </c>
      <c r="D3" s="26">
        <f>frac_mam_6_11months * 2.6</f>
        <v>3.1200000259999996E-2</v>
      </c>
      <c r="E3" s="26">
        <f>frac_mam_12_23months * 2.6</f>
        <v>3.1200000259999996E-2</v>
      </c>
      <c r="F3" s="26">
        <f>frac_mam_24_59months * 2.6</f>
        <v>3.1200000259999996E-2</v>
      </c>
    </row>
    <row r="4" spans="1:6" ht="15.75" customHeight="1" x14ac:dyDescent="0.25">
      <c r="A4" s="3" t="s">
        <v>66</v>
      </c>
      <c r="B4" s="26">
        <f>frac_sam_1month * 2.6</f>
        <v>1.8199999740000004E-2</v>
      </c>
      <c r="C4" s="26">
        <f>frac_sam_1_5months * 2.6</f>
        <v>1.8199999740000004E-2</v>
      </c>
      <c r="D4" s="26">
        <f>frac_sam_6_11months * 2.6</f>
        <v>1.8199999740000004E-2</v>
      </c>
      <c r="E4" s="26">
        <f>frac_sam_12_23months * 2.6</f>
        <v>1.8199999740000004E-2</v>
      </c>
      <c r="F4" s="26">
        <f>frac_sam_24_59months * 2.6</f>
        <v>1.8199999740000004E-2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6.9999999999999993E-3</v>
      </c>
      <c r="E2" s="87">
        <f>food_insecure</f>
        <v>6.9999999999999993E-3</v>
      </c>
      <c r="F2" s="87">
        <f>food_insecure</f>
        <v>6.9999999999999993E-3</v>
      </c>
      <c r="G2" s="87">
        <f>food_insecure</f>
        <v>6.9999999999999993E-3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6.9999999999999993E-3</v>
      </c>
      <c r="F5" s="87">
        <f>food_insecure</f>
        <v>6.9999999999999993E-3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9.923667778182664E-2</v>
      </c>
      <c r="D7" s="87">
        <f>diarrhoea_1_5mo/26</f>
        <v>8.3077666964615382E-2</v>
      </c>
      <c r="E7" s="87">
        <f>diarrhoea_6_11mo/26</f>
        <v>8.3077666964615382E-2</v>
      </c>
      <c r="F7" s="87">
        <f>diarrhoea_12_23mo/26</f>
        <v>3.9305200405768841E-2</v>
      </c>
      <c r="G7" s="87">
        <f>diarrhoea_24_59mo/26</f>
        <v>3.9305200405768841E-2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6.9999999999999993E-3</v>
      </c>
      <c r="F8" s="87">
        <f>food_insecure</f>
        <v>6.9999999999999993E-3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0.72</v>
      </c>
      <c r="E9" s="87">
        <f>IF(ISBLANK(comm_deliv), frac_children_health_facility,1)</f>
        <v>0.72</v>
      </c>
      <c r="F9" s="87">
        <f>IF(ISBLANK(comm_deliv), frac_children_health_facility,1)</f>
        <v>0.72</v>
      </c>
      <c r="G9" s="87">
        <f>IF(ISBLANK(comm_deliv), frac_children_health_facility,1)</f>
        <v>0.72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9.923667778182664E-2</v>
      </c>
      <c r="D11" s="87">
        <f>diarrhoea_1_5mo/26</f>
        <v>8.3077666964615382E-2</v>
      </c>
      <c r="E11" s="87">
        <f>diarrhoea_6_11mo/26</f>
        <v>8.3077666964615382E-2</v>
      </c>
      <c r="F11" s="87">
        <f>diarrhoea_12_23mo/26</f>
        <v>3.9305200405768841E-2</v>
      </c>
      <c r="G11" s="87">
        <f>diarrhoea_24_59mo/26</f>
        <v>3.9305200405768841E-2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6.9999999999999993E-3</v>
      </c>
      <c r="I14" s="87">
        <f>food_insecure</f>
        <v>6.9999999999999993E-3</v>
      </c>
      <c r="J14" s="87">
        <f>food_insecure</f>
        <v>6.9999999999999993E-3</v>
      </c>
      <c r="K14" s="87">
        <f>food_insecure</f>
        <v>6.9999999999999993E-3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0.62</v>
      </c>
      <c r="I17" s="87">
        <f>frac_PW_health_facility</f>
        <v>0.62</v>
      </c>
      <c r="J17" s="87">
        <f>frac_PW_health_facility</f>
        <v>0.62</v>
      </c>
      <c r="K17" s="87">
        <f>frac_PW_health_facility</f>
        <v>0.62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0.10299999999999999</v>
      </c>
      <c r="M23" s="87">
        <f>famplan_unmet_need</f>
        <v>0.10299999999999999</v>
      </c>
      <c r="N23" s="87">
        <f>famplan_unmet_need</f>
        <v>0.10299999999999999</v>
      </c>
      <c r="O23" s="87">
        <f>famplan_unmet_need</f>
        <v>0.10299999999999999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9.1370666828111999E-2</v>
      </c>
      <c r="M24" s="87">
        <f>(1-food_insecure)*(0.49)+food_insecure*(0.7)</f>
        <v>0.49147000000000002</v>
      </c>
      <c r="N24" s="87">
        <f>(1-food_insecure)*(0.49)+food_insecure*(0.7)</f>
        <v>0.49147000000000002</v>
      </c>
      <c r="O24" s="87">
        <f>(1-food_insecure)*(0.49)+food_insecure*(0.7)</f>
        <v>0.49147000000000002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3.9158857212048002E-2</v>
      </c>
      <c r="M25" s="87">
        <f>(1-food_insecure)*(0.21)+food_insecure*(0.3)</f>
        <v>0.21062999999999998</v>
      </c>
      <c r="N25" s="87">
        <f>(1-food_insecure)*(0.21)+food_insecure*(0.3)</f>
        <v>0.21062999999999998</v>
      </c>
      <c r="O25" s="87">
        <f>(1-food_insecure)*(0.21)+food_insecure*(0.3)</f>
        <v>0.21062999999999998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5.5383485559840004E-2</v>
      </c>
      <c r="M26" s="87">
        <f>(1-food_insecure)*(0.3)</f>
        <v>0.2979</v>
      </c>
      <c r="N26" s="87">
        <f>(1-food_insecure)*(0.3)</f>
        <v>0.2979</v>
      </c>
      <c r="O26" s="87">
        <f>(1-food_insecure)*(0.3)</f>
        <v>0.2979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0.81408699039999999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15316339.584000001</v>
      </c>
      <c r="C2" s="74">
        <v>35786000</v>
      </c>
      <c r="D2" s="74">
        <v>83776000</v>
      </c>
      <c r="E2" s="74">
        <v>109749000</v>
      </c>
      <c r="F2" s="74">
        <v>102105000</v>
      </c>
      <c r="G2" s="22">
        <f t="shared" ref="G2:G40" si="0">C2+D2+E2+F2</f>
        <v>331416000</v>
      </c>
      <c r="H2" s="22">
        <f t="shared" ref="H2:H40" si="1">(B2 + stillbirth*B2/(1000-stillbirth))/(1-abortion)</f>
        <v>17732663.202645253</v>
      </c>
      <c r="I2" s="22">
        <f>G2-H2</f>
        <v>313683336.79735476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15046970.9256</v>
      </c>
      <c r="C3" s="74">
        <v>35954000</v>
      </c>
      <c r="D3" s="74">
        <v>79995000</v>
      </c>
      <c r="E3" s="74">
        <v>111382000</v>
      </c>
      <c r="F3" s="74">
        <v>99098000</v>
      </c>
      <c r="G3" s="22">
        <f t="shared" si="0"/>
        <v>326429000</v>
      </c>
      <c r="H3" s="22">
        <f t="shared" si="1"/>
        <v>17420798.630136985</v>
      </c>
      <c r="I3" s="22">
        <f t="shared" ref="I3:I15" si="3">G3-H3</f>
        <v>309008201.36986303</v>
      </c>
    </row>
    <row r="4" spans="1:9" ht="15.75" customHeight="1" x14ac:dyDescent="0.25">
      <c r="A4" s="7">
        <f t="shared" si="2"/>
        <v>2022</v>
      </c>
      <c r="B4" s="73">
        <v>14770758.571199998</v>
      </c>
      <c r="C4" s="74">
        <v>36151000</v>
      </c>
      <c r="D4" s="74">
        <v>77084000</v>
      </c>
      <c r="E4" s="74">
        <v>112034000</v>
      </c>
      <c r="F4" s="74">
        <v>96285000</v>
      </c>
      <c r="G4" s="22">
        <f t="shared" si="0"/>
        <v>321554000</v>
      </c>
      <c r="H4" s="22">
        <f t="shared" si="1"/>
        <v>17101010.692155935</v>
      </c>
      <c r="I4" s="22">
        <f t="shared" si="3"/>
        <v>304452989.30784404</v>
      </c>
    </row>
    <row r="5" spans="1:9" ht="15.75" customHeight="1" x14ac:dyDescent="0.25">
      <c r="A5" s="7">
        <f t="shared" si="2"/>
        <v>2023</v>
      </c>
      <c r="B5" s="73">
        <v>14488516.159599999</v>
      </c>
      <c r="C5" s="74">
        <v>36384000</v>
      </c>
      <c r="D5" s="74">
        <v>74956000</v>
      </c>
      <c r="E5" s="74">
        <v>111596000</v>
      </c>
      <c r="F5" s="74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7">
        <f t="shared" si="2"/>
        <v>2024</v>
      </c>
      <c r="B6" s="73">
        <v>14200957.049599996</v>
      </c>
      <c r="C6" s="74">
        <v>36681000</v>
      </c>
      <c r="D6" s="74">
        <v>73360000</v>
      </c>
      <c r="E6" s="74">
        <v>110005000</v>
      </c>
      <c r="F6" s="74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7">
        <f t="shared" si="2"/>
        <v>2025</v>
      </c>
      <c r="B7" s="73">
        <v>13908740.274000002</v>
      </c>
      <c r="C7" s="74">
        <v>37048000</v>
      </c>
      <c r="D7" s="74">
        <v>72129000</v>
      </c>
      <c r="E7" s="74">
        <v>107266000</v>
      </c>
      <c r="F7" s="74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7">
        <f t="shared" si="2"/>
        <v>2026</v>
      </c>
      <c r="B8" s="73">
        <v>13753133.544600001</v>
      </c>
      <c r="C8" s="74">
        <v>37472000</v>
      </c>
      <c r="D8" s="74">
        <v>71407000</v>
      </c>
      <c r="E8" s="74">
        <v>103458000</v>
      </c>
      <c r="F8" s="74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7">
        <f t="shared" si="2"/>
        <v>2027</v>
      </c>
      <c r="B9" s="73">
        <v>13593779.126399999</v>
      </c>
      <c r="C9" s="74">
        <v>37924000</v>
      </c>
      <c r="D9" s="74">
        <v>71144000</v>
      </c>
      <c r="E9" s="74">
        <v>98392000</v>
      </c>
      <c r="F9" s="74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7">
        <f t="shared" si="2"/>
        <v>2028</v>
      </c>
      <c r="B10" s="73">
        <v>13430815.0428</v>
      </c>
      <c r="C10" s="74">
        <v>38336000</v>
      </c>
      <c r="D10" s="74">
        <v>71245000</v>
      </c>
      <c r="E10" s="74">
        <v>92668000</v>
      </c>
      <c r="F10" s="74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7">
        <f t="shared" si="2"/>
        <v>2029</v>
      </c>
      <c r="B11" s="73">
        <v>13264472.865599999</v>
      </c>
      <c r="C11" s="74">
        <v>38608000</v>
      </c>
      <c r="D11" s="74">
        <v>71575000</v>
      </c>
      <c r="E11" s="74">
        <v>87197000</v>
      </c>
      <c r="F11" s="74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7">
        <f t="shared" si="2"/>
        <v>2030</v>
      </c>
      <c r="B12" s="73">
        <v>13095034.755000001</v>
      </c>
      <c r="C12" s="74">
        <v>38677000</v>
      </c>
      <c r="D12" s="74">
        <v>72029000</v>
      </c>
      <c r="E12" s="74">
        <v>82576000</v>
      </c>
      <c r="F12" s="74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7" t="str">
        <f t="shared" si="2"/>
        <v/>
      </c>
      <c r="B13" s="73">
        <v>35709000</v>
      </c>
      <c r="C13" s="74">
        <v>88489000</v>
      </c>
      <c r="D13" s="74">
        <v>107282000</v>
      </c>
      <c r="E13" s="74">
        <v>105476000</v>
      </c>
      <c r="F13" s="74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4.3034775000000006E-3</v>
      </c>
    </row>
    <row r="4" spans="1:8" ht="15.75" customHeight="1" x14ac:dyDescent="0.25">
      <c r="B4" s="24" t="s">
        <v>7</v>
      </c>
      <c r="C4" s="75">
        <v>4.5199609171251848E-2</v>
      </c>
    </row>
    <row r="5" spans="1:8" ht="15.75" customHeight="1" x14ac:dyDescent="0.25">
      <c r="B5" s="24" t="s">
        <v>8</v>
      </c>
      <c r="C5" s="75">
        <v>0.12135942852673706</v>
      </c>
    </row>
    <row r="6" spans="1:8" ht="15.75" customHeight="1" x14ac:dyDescent="0.25">
      <c r="B6" s="24" t="s">
        <v>10</v>
      </c>
      <c r="C6" s="75">
        <v>0.14862802508401751</v>
      </c>
    </row>
    <row r="7" spans="1:8" ht="15.75" customHeight="1" x14ac:dyDescent="0.25">
      <c r="B7" s="24" t="s">
        <v>13</v>
      </c>
      <c r="C7" s="75">
        <v>0.28224899255422575</v>
      </c>
    </row>
    <row r="8" spans="1:8" ht="15.75" customHeight="1" x14ac:dyDescent="0.25">
      <c r="B8" s="24" t="s">
        <v>14</v>
      </c>
      <c r="C8" s="75">
        <v>1.5648594834482875E-3</v>
      </c>
    </row>
    <row r="9" spans="1:8" ht="15.75" customHeight="1" x14ac:dyDescent="0.25">
      <c r="B9" s="24" t="s">
        <v>27</v>
      </c>
      <c r="C9" s="75">
        <v>0.20625948378158848</v>
      </c>
    </row>
    <row r="10" spans="1:8" ht="15.75" customHeight="1" x14ac:dyDescent="0.25">
      <c r="B10" s="24" t="s">
        <v>15</v>
      </c>
      <c r="C10" s="75">
        <v>0.1904361238987311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2.7757246058023401E-2</v>
      </c>
      <c r="D14" s="75">
        <v>2.7757246058023401E-2</v>
      </c>
      <c r="E14" s="75">
        <v>1.0899893384589198E-2</v>
      </c>
      <c r="F14" s="75">
        <v>1.0899893384589198E-2</v>
      </c>
    </row>
    <row r="15" spans="1:8" ht="15.75" customHeight="1" x14ac:dyDescent="0.25">
      <c r="B15" s="24" t="s">
        <v>16</v>
      </c>
      <c r="C15" s="75">
        <v>0.20459980232864697</v>
      </c>
      <c r="D15" s="75">
        <v>0.20459980232864697</v>
      </c>
      <c r="E15" s="75">
        <v>8.2728191744732005E-2</v>
      </c>
      <c r="F15" s="75">
        <v>8.2728191744732005E-2</v>
      </c>
    </row>
    <row r="16" spans="1:8" ht="15.75" customHeight="1" x14ac:dyDescent="0.25">
      <c r="B16" s="24" t="s">
        <v>17</v>
      </c>
      <c r="C16" s="75">
        <v>1.7656668608345898E-2</v>
      </c>
      <c r="D16" s="75">
        <v>1.7656668608345898E-2</v>
      </c>
      <c r="E16" s="75">
        <v>1.8251611371611499E-2</v>
      </c>
      <c r="F16" s="75">
        <v>1.8251611371611499E-2</v>
      </c>
    </row>
    <row r="17" spans="1:8" ht="15.75" customHeight="1" x14ac:dyDescent="0.25">
      <c r="B17" s="24" t="s">
        <v>18</v>
      </c>
      <c r="C17" s="75">
        <v>5.6818072270119506E-3</v>
      </c>
      <c r="D17" s="75">
        <v>5.6818072270119506E-3</v>
      </c>
      <c r="E17" s="75">
        <v>2.2941858321946201E-2</v>
      </c>
      <c r="F17" s="75">
        <v>2.2941858321946201E-2</v>
      </c>
    </row>
    <row r="18" spans="1:8" ht="15.75" customHeight="1" x14ac:dyDescent="0.25">
      <c r="B18" s="24" t="s">
        <v>19</v>
      </c>
      <c r="C18" s="75">
        <v>7.18306366317689E-6</v>
      </c>
      <c r="D18" s="75">
        <v>7.18306366317689E-6</v>
      </c>
      <c r="E18" s="75">
        <v>1.0296660631627098E-5</v>
      </c>
      <c r="F18" s="75">
        <v>1.0296660631627098E-5</v>
      </c>
    </row>
    <row r="19" spans="1:8" ht="15.75" customHeight="1" x14ac:dyDescent="0.25">
      <c r="B19" s="24" t="s">
        <v>20</v>
      </c>
      <c r="C19" s="75">
        <v>5.9778113834509199E-3</v>
      </c>
      <c r="D19" s="75">
        <v>5.9778113834509199E-3</v>
      </c>
      <c r="E19" s="75">
        <v>9.9758634497060204E-3</v>
      </c>
      <c r="F19" s="75">
        <v>9.9758634497060204E-3</v>
      </c>
    </row>
    <row r="20" spans="1:8" ht="15.75" customHeight="1" x14ac:dyDescent="0.25">
      <c r="B20" s="24" t="s">
        <v>21</v>
      </c>
      <c r="C20" s="75">
        <v>3.6590965623631098E-3</v>
      </c>
      <c r="D20" s="75">
        <v>3.6590965623631098E-3</v>
      </c>
      <c r="E20" s="75">
        <v>2.0220468994227601E-2</v>
      </c>
      <c r="F20" s="75">
        <v>2.0220468994227601E-2</v>
      </c>
    </row>
    <row r="21" spans="1:8" ht="15.75" customHeight="1" x14ac:dyDescent="0.25">
      <c r="B21" s="24" t="s">
        <v>22</v>
      </c>
      <c r="C21" s="75">
        <v>0.14770538048078499</v>
      </c>
      <c r="D21" s="75">
        <v>0.14770538048078499</v>
      </c>
      <c r="E21" s="75">
        <v>0.44517605880789107</v>
      </c>
      <c r="F21" s="75">
        <v>0.44517605880789107</v>
      </c>
    </row>
    <row r="22" spans="1:8" ht="15.75" customHeight="1" x14ac:dyDescent="0.25">
      <c r="B22" s="24" t="s">
        <v>23</v>
      </c>
      <c r="C22" s="75">
        <v>0.58695500428770953</v>
      </c>
      <c r="D22" s="75">
        <v>0.58695500428770953</v>
      </c>
      <c r="E22" s="75">
        <v>0.38979575726466476</v>
      </c>
      <c r="F22" s="75">
        <v>0.38979575726466476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6.7500000000000004E-2</v>
      </c>
    </row>
    <row r="27" spans="1:8" ht="15.75" customHeight="1" x14ac:dyDescent="0.25">
      <c r="B27" s="24" t="s">
        <v>39</v>
      </c>
      <c r="C27" s="75">
        <v>2.5999999999999999E-3</v>
      </c>
    </row>
    <row r="28" spans="1:8" ht="15.75" customHeight="1" x14ac:dyDescent="0.25">
      <c r="B28" s="24" t="s">
        <v>40</v>
      </c>
      <c r="C28" s="75">
        <v>0.2908</v>
      </c>
    </row>
    <row r="29" spans="1:8" ht="15.75" customHeight="1" x14ac:dyDescent="0.25">
      <c r="B29" s="24" t="s">
        <v>41</v>
      </c>
      <c r="C29" s="75">
        <v>0.10210000000000001</v>
      </c>
    </row>
    <row r="30" spans="1:8" ht="15.75" customHeight="1" x14ac:dyDescent="0.25">
      <c r="B30" s="24" t="s">
        <v>42</v>
      </c>
      <c r="C30" s="75">
        <v>2.4700000000000003E-2</v>
      </c>
    </row>
    <row r="31" spans="1:8" ht="15.75" customHeight="1" x14ac:dyDescent="0.25">
      <c r="B31" s="24" t="s">
        <v>43</v>
      </c>
      <c r="C31" s="75">
        <v>4.4000000000000003E-3</v>
      </c>
    </row>
    <row r="32" spans="1:8" ht="15.75" customHeight="1" x14ac:dyDescent="0.25">
      <c r="B32" s="24" t="s">
        <v>44</v>
      </c>
      <c r="C32" s="75">
        <v>0.11259999999999999</v>
      </c>
    </row>
    <row r="33" spans="2:3" ht="15.75" customHeight="1" x14ac:dyDescent="0.25">
      <c r="B33" s="24" t="s">
        <v>45</v>
      </c>
      <c r="C33" s="75">
        <v>0.1409</v>
      </c>
    </row>
    <row r="34" spans="2:3" ht="15.75" customHeight="1" x14ac:dyDescent="0.25">
      <c r="B34" s="24" t="s">
        <v>46</v>
      </c>
      <c r="C34" s="75">
        <v>0.25440000000000018</v>
      </c>
    </row>
    <row r="35" spans="2:3" ht="15.75" customHeight="1" x14ac:dyDescent="0.25">
      <c r="B35" s="32" t="s">
        <v>129</v>
      </c>
      <c r="C35" s="70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0.67438217044688631</v>
      </c>
      <c r="D2" s="76">
        <v>0.67438217044688631</v>
      </c>
      <c r="E2" s="76">
        <v>0.63144571883524903</v>
      </c>
      <c r="F2" s="76">
        <v>0.49402003123873117</v>
      </c>
      <c r="G2" s="76">
        <v>0.45114545258181815</v>
      </c>
    </row>
    <row r="3" spans="1:15" ht="15.75" customHeight="1" x14ac:dyDescent="0.25">
      <c r="A3" s="5"/>
      <c r="B3" s="11" t="s">
        <v>118</v>
      </c>
      <c r="C3" s="76">
        <v>0.24461782555311357</v>
      </c>
      <c r="D3" s="76">
        <v>0.24461782555311357</v>
      </c>
      <c r="E3" s="76">
        <v>0.28755427716475096</v>
      </c>
      <c r="F3" s="76">
        <v>0.4249799647612687</v>
      </c>
      <c r="G3" s="76">
        <v>0.46785454341818178</v>
      </c>
    </row>
    <row r="4" spans="1:15" ht="15.75" customHeight="1" x14ac:dyDescent="0.25">
      <c r="A4" s="5"/>
      <c r="B4" s="11" t="s">
        <v>116</v>
      </c>
      <c r="C4" s="77">
        <v>4.8331494099447529E-2</v>
      </c>
      <c r="D4" s="77">
        <v>4.8331494099447529E-2</v>
      </c>
      <c r="E4" s="77">
        <v>5.0764979465437787E-2</v>
      </c>
      <c r="F4" s="77">
        <v>4.6660850184538659E-2</v>
      </c>
      <c r="G4" s="77">
        <v>4.6337031113082044E-2</v>
      </c>
    </row>
    <row r="5" spans="1:15" ht="15.75" customHeight="1" x14ac:dyDescent="0.25">
      <c r="A5" s="5"/>
      <c r="B5" s="11" t="s">
        <v>119</v>
      </c>
      <c r="C5" s="77">
        <v>3.2668509900552492E-2</v>
      </c>
      <c r="D5" s="77">
        <v>3.2668509900552492E-2</v>
      </c>
      <c r="E5" s="77">
        <v>3.023502453456221E-2</v>
      </c>
      <c r="F5" s="77">
        <v>3.4339153815461355E-2</v>
      </c>
      <c r="G5" s="77">
        <v>3.4662972886917963E-2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0.76018874560375138</v>
      </c>
      <c r="D8" s="76">
        <v>0.76018874560375138</v>
      </c>
      <c r="E8" s="76">
        <v>0.74173170731707316</v>
      </c>
      <c r="F8" s="76">
        <v>0.71540668202764979</v>
      </c>
      <c r="G8" s="76">
        <v>0.72686608122941831</v>
      </c>
    </row>
    <row r="9" spans="1:15" ht="15.75" customHeight="1" x14ac:dyDescent="0.25">
      <c r="B9" s="7" t="s">
        <v>121</v>
      </c>
      <c r="C9" s="76">
        <v>0.22081125439624852</v>
      </c>
      <c r="D9" s="76">
        <v>0.22081125439624852</v>
      </c>
      <c r="E9" s="76">
        <v>0.23926829268292688</v>
      </c>
      <c r="F9" s="76">
        <v>0.2655933179723502</v>
      </c>
      <c r="G9" s="76">
        <v>0.25413391877058178</v>
      </c>
    </row>
    <row r="10" spans="1:15" ht="15.75" customHeight="1" x14ac:dyDescent="0.25">
      <c r="B10" s="7" t="s">
        <v>122</v>
      </c>
      <c r="C10" s="77">
        <v>1.2000000099999998E-2</v>
      </c>
      <c r="D10" s="77">
        <v>1.2000000099999998E-2</v>
      </c>
      <c r="E10" s="77">
        <v>1.2000000099999998E-2</v>
      </c>
      <c r="F10" s="77">
        <v>1.2000000099999998E-2</v>
      </c>
      <c r="G10" s="77">
        <v>1.2000000099999998E-2</v>
      </c>
    </row>
    <row r="11" spans="1:15" ht="15.75" customHeight="1" x14ac:dyDescent="0.25">
      <c r="B11" s="7" t="s">
        <v>123</v>
      </c>
      <c r="C11" s="77">
        <v>6.9999999000000005E-3</v>
      </c>
      <c r="D11" s="77">
        <v>6.9999999000000005E-3</v>
      </c>
      <c r="E11" s="77">
        <v>6.9999999000000005E-3</v>
      </c>
      <c r="F11" s="77">
        <v>6.9999999000000005E-3</v>
      </c>
      <c r="G11" s="77">
        <v>6.9999999000000005E-3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0.24106760524999998</v>
      </c>
      <c r="D14" s="78">
        <v>0.22647946759500001</v>
      </c>
      <c r="E14" s="78">
        <v>0.22647946759500001</v>
      </c>
      <c r="F14" s="78">
        <v>8.3043017710499989E-2</v>
      </c>
      <c r="G14" s="78">
        <v>8.3043017710499989E-2</v>
      </c>
      <c r="H14" s="79">
        <v>0.32400000000000001</v>
      </c>
      <c r="I14" s="79">
        <v>0.32400000000000001</v>
      </c>
      <c r="J14" s="79">
        <v>0.32400000000000001</v>
      </c>
      <c r="K14" s="79">
        <v>0.32400000000000001</v>
      </c>
      <c r="L14" s="79">
        <v>0.102581994335</v>
      </c>
      <c r="M14" s="79">
        <v>0.11149034115899999</v>
      </c>
      <c r="N14" s="79">
        <v>0.11441698703950001</v>
      </c>
      <c r="O14" s="79">
        <v>0.13796585878750001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0.15029087827944598</v>
      </c>
      <c r="D15" s="76">
        <f t="shared" si="0"/>
        <v>0.1411960684713936</v>
      </c>
      <c r="E15" s="76">
        <f t="shared" si="0"/>
        <v>0.1411960684713936</v>
      </c>
      <c r="F15" s="76">
        <f t="shared" si="0"/>
        <v>5.1772232331853851E-2</v>
      </c>
      <c r="G15" s="76">
        <f t="shared" si="0"/>
        <v>5.1772232331853851E-2</v>
      </c>
      <c r="H15" s="76">
        <f t="shared" si="0"/>
        <v>0.20199414397484874</v>
      </c>
      <c r="I15" s="76">
        <f t="shared" si="0"/>
        <v>0.20199414397484874</v>
      </c>
      <c r="J15" s="76">
        <f t="shared" si="0"/>
        <v>0.20199414397484874</v>
      </c>
      <c r="K15" s="76">
        <f t="shared" si="0"/>
        <v>0.20199414397484874</v>
      </c>
      <c r="L15" s="76">
        <f t="shared" si="0"/>
        <v>6.3953586830034284E-2</v>
      </c>
      <c r="M15" s="76">
        <f t="shared" si="0"/>
        <v>6.9507395135419897E-2</v>
      </c>
      <c r="N15" s="76">
        <f t="shared" si="0"/>
        <v>7.1331979485262861E-2</v>
      </c>
      <c r="O15" s="76">
        <f t="shared" si="0"/>
        <v>8.6013257850419522E-2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0.61899999999999999</v>
      </c>
      <c r="D2" s="77">
        <v>0.42299999999999999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0.159</v>
      </c>
      <c r="D3" s="77">
        <v>0.19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0.18899999999999997</v>
      </c>
      <c r="D4" s="77">
        <v>0.33600000000000002</v>
      </c>
      <c r="E4" s="77">
        <v>0.8909999999999999</v>
      </c>
      <c r="F4" s="77">
        <v>0.71700000000000008</v>
      </c>
      <c r="G4" s="77">
        <v>0</v>
      </c>
    </row>
    <row r="5" spans="1:7" x14ac:dyDescent="0.25">
      <c r="B5" s="43" t="s">
        <v>169</v>
      </c>
      <c r="C5" s="76">
        <f>1-SUM(C2:C4)</f>
        <v>3.3000000000000029E-2</v>
      </c>
      <c r="D5" s="76">
        <f t="shared" ref="D5:G5" si="0">1-SUM(D2:D4)</f>
        <v>5.0999999999999934E-2</v>
      </c>
      <c r="E5" s="76">
        <f t="shared" si="0"/>
        <v>0.1090000000000001</v>
      </c>
      <c r="F5" s="76">
        <f t="shared" si="0"/>
        <v>0.28299999999999992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0.1007</v>
      </c>
      <c r="D2" s="28">
        <v>9.8549999999999999E-2</v>
      </c>
      <c r="E2" s="28">
        <v>9.6460000000000004E-2</v>
      </c>
      <c r="F2" s="28">
        <v>9.444000000000001E-2</v>
      </c>
      <c r="G2" s="28">
        <v>9.2490000000000003E-2</v>
      </c>
      <c r="H2" s="28">
        <v>9.06E-2</v>
      </c>
      <c r="I2" s="28">
        <v>8.8770000000000002E-2</v>
      </c>
      <c r="J2" s="28">
        <v>8.7010000000000004E-2</v>
      </c>
      <c r="K2" s="28">
        <v>8.5310000000000011E-2</v>
      </c>
      <c r="L2" s="28">
        <v>8.3670000000000008E-2</v>
      </c>
      <c r="M2" s="28">
        <v>8.2089999999999996E-2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1.7739999999999999E-2</v>
      </c>
      <c r="D4" s="28">
        <v>1.7350000000000001E-2</v>
      </c>
      <c r="E4" s="28">
        <v>1.6959999999999999E-2</v>
      </c>
      <c r="F4" s="28">
        <v>1.6579999999999998E-2</v>
      </c>
      <c r="G4" s="28">
        <v>1.6220000000000002E-2</v>
      </c>
      <c r="H4" s="28">
        <v>1.5869999999999999E-2</v>
      </c>
      <c r="I4" s="28">
        <v>1.555E-2</v>
      </c>
      <c r="J4" s="28">
        <v>1.524E-2</v>
      </c>
      <c r="K4" s="28">
        <v>1.4950000000000001E-2</v>
      </c>
      <c r="L4" s="28">
        <v>1.4670000000000001E-2</v>
      </c>
      <c r="M4" s="28">
        <v>1.439E-2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6.9808579723229333E-2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0.20199414397484874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7.3951264538891254E-2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0.45566666666666666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0.77500000000000002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10.281000000000001</v>
      </c>
      <c r="D13" s="28">
        <v>9.7910000000000004</v>
      </c>
      <c r="E13" s="28">
        <v>9.3460000000000001</v>
      </c>
      <c r="F13" s="28">
        <v>8.9290000000000003</v>
      </c>
      <c r="G13" s="28">
        <v>8.5429999999999993</v>
      </c>
      <c r="H13" s="28">
        <v>8.18</v>
      </c>
      <c r="I13" s="28">
        <v>7.8449999999999998</v>
      </c>
      <c r="J13" s="28">
        <v>7.54</v>
      </c>
      <c r="K13" s="28">
        <v>7.2290000000000001</v>
      </c>
      <c r="L13" s="28">
        <v>6.9560000000000004</v>
      </c>
      <c r="M13" s="28">
        <v>6.67</v>
      </c>
    </row>
    <row r="14" spans="1:13" x14ac:dyDescent="0.25">
      <c r="B14" s="16" t="s">
        <v>170</v>
      </c>
      <c r="C14" s="28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83.410471363702499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40.449016074200848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812.31808725464009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2.9368272794280297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2.0484817886827402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2.0484817886827402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2.0484817886827402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2.0484817886827402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13.581315517996757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13.581315517996757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1.2880813178921058</v>
      </c>
      <c r="E17" s="82" t="s">
        <v>201</v>
      </c>
    </row>
    <row r="18" spans="1:5" ht="15.9" customHeight="1" x14ac:dyDescent="0.25">
      <c r="A18" s="52" t="s">
        <v>173</v>
      </c>
      <c r="B18" s="81">
        <v>0.40700000000000003</v>
      </c>
      <c r="C18" s="81">
        <v>0.95</v>
      </c>
      <c r="D18" s="82">
        <v>18.607077933259184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39.938718228324198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23.735422745953461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4.6350477086017117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19.14284064169528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19.140945458292215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6.4995393702753681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11.173750530880806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1.2327777795675219</v>
      </c>
      <c r="E28" s="82" t="s">
        <v>201</v>
      </c>
    </row>
    <row r="29" spans="1:5" ht="15.75" customHeight="1" x14ac:dyDescent="0.25">
      <c r="A29" s="52" t="s">
        <v>58</v>
      </c>
      <c r="B29" s="81">
        <v>0.40700000000000003</v>
      </c>
      <c r="C29" s="81">
        <v>0.95</v>
      </c>
      <c r="D29" s="82">
        <v>171.57648799823235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361.40240137435069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361.40240137435069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2.8242409092683913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0.76500000000000001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0.95499999999999996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0.73099999999999998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2.3565414227982937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2.8453631153828312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2020-06-17T04:27:51Z</dcterms:modified>
</cp:coreProperties>
</file>