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477BA81E-9F13-49C3-A1F8-EBC51A4854D0}" xr6:coauthVersionLast="45" xr6:coauthVersionMax="45" xr10:uidLastSave="{00000000-0000-0000-0000-000000000000}"/>
  <bookViews>
    <workbookView xWindow="-108" yWindow="-10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state="hidden" r:id="rId11"/>
    <sheet name="Incidence of conditions" sheetId="7" state="hidden" r:id="rId12"/>
    <sheet name="Programs target population" sheetId="21" r:id="rId13"/>
    <sheet name="Cost curve options" sheetId="61" state="hidden" r:id="rId14"/>
    <sheet name="Programs family planning" sheetId="54" state="hidden" r:id="rId15"/>
    <sheet name="Programs impacted population" sheetId="62" state="hidden" r:id="rId16"/>
    <sheet name="Program risk areas" sheetId="63" state="hidden" r:id="rId17"/>
    <sheet name="Population risk areas" sheetId="64" state="hidden" r:id="rId18"/>
    <sheet name="IYCF odds ratios" sheetId="65" state="hidden" r:id="rId19"/>
    <sheet name="Birth outcome risks" sheetId="66" state="hidden" r:id="rId20"/>
    <sheet name="Relative risks" sheetId="67" state="hidden" r:id="rId21"/>
    <sheet name="Odds ratios" sheetId="68" state="hidden" r:id="rId22"/>
    <sheet name="Programs birth outcomes" sheetId="69" state="hidden" r:id="rId23"/>
    <sheet name="Programs anemia" sheetId="70" state="hidden" r:id="rId24"/>
    <sheet name="Programs wasting" sheetId="71" state="hidden" r:id="rId25"/>
    <sheet name="Programs for children" sheetId="72" state="hidden" r:id="rId26"/>
    <sheet name="Programs for PW" sheetId="73" state="hidden" r:id="rId27"/>
  </sheets>
  <definedNames>
    <definedName name="_xlnm._FilterDatabase" localSheetId="19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1" l="1"/>
  <c r="C11" i="51" l="1"/>
  <c r="C10" i="51"/>
  <c r="L1" i="51" l="1"/>
  <c r="M1" i="51"/>
  <c r="E1" i="51"/>
  <c r="F1" i="51" s="1"/>
  <c r="G1" i="51" s="1"/>
  <c r="H1" i="51" s="1"/>
  <c r="I1" i="51" s="1"/>
  <c r="J1" i="51" s="1"/>
  <c r="K1" i="51" s="1"/>
  <c r="D1" i="51"/>
  <c r="E31" i="21" l="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A2" i="2"/>
  <c r="A22" i="2" s="1"/>
  <c r="A34" i="2"/>
  <c r="A30" i="2"/>
  <c r="A14" i="2"/>
  <c r="A15" i="2"/>
  <c r="A37" i="2"/>
  <c r="A40" i="2"/>
  <c r="A36" i="2"/>
  <c r="A32" i="2"/>
  <c r="A28" i="2"/>
  <c r="A27" i="2"/>
  <c r="A23" i="2"/>
  <c r="A19" i="2"/>
  <c r="G16" i="2"/>
  <c r="H16" i="2"/>
  <c r="I16" i="2" s="1"/>
  <c r="G17" i="2"/>
  <c r="H17" i="2"/>
  <c r="G18" i="2"/>
  <c r="H18" i="2"/>
  <c r="I18" i="2" s="1"/>
  <c r="G19" i="2"/>
  <c r="H19" i="2"/>
  <c r="I19" i="2" s="1"/>
  <c r="G20" i="2"/>
  <c r="H20" i="2"/>
  <c r="G21" i="2"/>
  <c r="H21" i="2"/>
  <c r="G22" i="2"/>
  <c r="H22" i="2"/>
  <c r="G23" i="2"/>
  <c r="H23" i="2"/>
  <c r="I23" i="2"/>
  <c r="G24" i="2"/>
  <c r="H24" i="2"/>
  <c r="G25" i="2"/>
  <c r="H25" i="2"/>
  <c r="I25" i="2" s="1"/>
  <c r="G26" i="2"/>
  <c r="H26" i="2"/>
  <c r="I26" i="2" s="1"/>
  <c r="G27" i="2"/>
  <c r="H27" i="2"/>
  <c r="I27" i="2" s="1"/>
  <c r="G28" i="2"/>
  <c r="H28" i="2"/>
  <c r="G29" i="2"/>
  <c r="H29" i="2"/>
  <c r="G30" i="2"/>
  <c r="H30" i="2"/>
  <c r="I30" i="2" s="1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G37" i="2"/>
  <c r="H37" i="2"/>
  <c r="G38" i="2"/>
  <c r="H38" i="2"/>
  <c r="I38" i="2" s="1"/>
  <c r="G39" i="2"/>
  <c r="H39" i="2"/>
  <c r="I39" i="2" s="1"/>
  <c r="G40" i="2"/>
  <c r="H40" i="2"/>
  <c r="I24" i="2"/>
  <c r="I37" i="2"/>
  <c r="I17" i="2"/>
  <c r="I40" i="2"/>
  <c r="I20" i="2"/>
  <c r="I29" i="2"/>
  <c r="I21" i="2"/>
  <c r="I22" i="2"/>
  <c r="I36" i="2"/>
  <c r="I28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C7" i="51" s="1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C20" i="1"/>
  <c r="G3" i="2"/>
  <c r="G4" i="2"/>
  <c r="I4" i="2" s="1"/>
  <c r="G5" i="2"/>
  <c r="I5" i="2" s="1"/>
  <c r="G6" i="2"/>
  <c r="G7" i="2"/>
  <c r="G8" i="2"/>
  <c r="I8" i="2"/>
  <c r="G9" i="2"/>
  <c r="G10" i="2"/>
  <c r="I10" i="2" s="1"/>
  <c r="G11" i="2"/>
  <c r="I11" i="2" s="1"/>
  <c r="G12" i="2"/>
  <c r="I12" i="2" s="1"/>
  <c r="G13" i="2"/>
  <c r="I13" i="2" s="1"/>
  <c r="G14" i="2"/>
  <c r="G15" i="2"/>
  <c r="G2" i="2"/>
  <c r="I2" i="2" s="1"/>
  <c r="A31" i="2" l="1"/>
  <c r="A17" i="2"/>
  <c r="A38" i="2"/>
  <c r="I6" i="2"/>
  <c r="C6" i="51"/>
  <c r="A35" i="2"/>
  <c r="A21" i="2"/>
  <c r="A16" i="2"/>
  <c r="I3" i="2"/>
  <c r="C8" i="51"/>
  <c r="A39" i="2"/>
  <c r="A25" i="2"/>
  <c r="A18" i="2"/>
  <c r="A20" i="2"/>
  <c r="A33" i="2"/>
  <c r="A26" i="2"/>
  <c r="I9" i="2"/>
  <c r="I15" i="2"/>
  <c r="I7" i="2"/>
  <c r="I14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treatment) * (annual diarrhoea incidence)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 episode) * (SAM prevalence) * 2.6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per treatment episode includes management of MAM (if selected) and is an average over delivery modalities. See user guide for further information</t>
        </r>
      </text>
    </comment>
    <comment ref="D38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<sst xmlns="http://schemas.openxmlformats.org/spreadsheetml/2006/main" count="1097" uniqueCount="272">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</sst>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4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5.9" customHeight="1" x14ac:dyDescent="0.25">
      <c r="A1" s="1" t="s">
        <v>100</v>
      </c>
      <c r="B1" s="41" t="s">
        <v>164</v>
      </c>
      <c r="C1" s="41" t="s">
        <v>165</v>
      </c>
    </row>
    <row r="2" spans="1:3" ht="15.9" customHeight="1" x14ac:dyDescent="0.25">
      <c r="A2" s="12" t="s">
        <v>191</v>
      </c>
      <c r="B2" s="41"/>
      <c r="C2" s="41"/>
    </row>
    <row r="3" spans="1:3" ht="15.9" customHeight="1" x14ac:dyDescent="0.25">
      <c r="A3" s="1"/>
      <c r="B3" s="7" t="s">
        <v>193</v>
      </c>
      <c r="C3" s="63">
        <v>2020</v>
      </c>
    </row>
    <row r="4" spans="1:3" ht="15.9" customHeight="1" x14ac:dyDescent="0.25">
      <c r="A4" s="1"/>
      <c r="B4" s="9" t="s">
        <v>192</v>
      </c>
      <c r="C4" s="64">
        <v>2030</v>
      </c>
    </row>
    <row r="5" spans="1:3" ht="15.9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65">
        <v>2966272</v>
      </c>
    </row>
    <row r="8" spans="1:3" ht="15" customHeight="1" x14ac:dyDescent="0.25">
      <c r="B8" s="7" t="s">
        <v>106</v>
      </c>
      <c r="C8" s="66">
        <v>0.70299999999999996</v>
      </c>
    </row>
    <row r="9" spans="1:3" ht="15" customHeight="1" x14ac:dyDescent="0.25">
      <c r="B9" s="9" t="s">
        <v>107</v>
      </c>
      <c r="C9" s="67">
        <v>0.77</v>
      </c>
    </row>
    <row r="10" spans="1:3" ht="15" customHeight="1" x14ac:dyDescent="0.25">
      <c r="B10" s="9" t="s">
        <v>105</v>
      </c>
      <c r="C10" s="67">
        <v>0.307979602813721</v>
      </c>
    </row>
    <row r="11" spans="1:3" ht="15" customHeight="1" x14ac:dyDescent="0.25">
      <c r="B11" s="7" t="s">
        <v>108</v>
      </c>
      <c r="C11" s="66">
        <v>0.50600000000000001</v>
      </c>
    </row>
    <row r="12" spans="1:3" ht="15" customHeight="1" x14ac:dyDescent="0.25">
      <c r="B12" s="7" t="s">
        <v>109</v>
      </c>
      <c r="C12" s="66">
        <v>0.77599999999999991</v>
      </c>
    </row>
    <row r="13" spans="1:3" ht="15" customHeight="1" x14ac:dyDescent="0.25">
      <c r="B13" s="7" t="s">
        <v>110</v>
      </c>
      <c r="C13" s="66">
        <v>0.254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0.15460000000000002</v>
      </c>
    </row>
    <row r="24" spans="1:3" ht="15" customHeight="1" x14ac:dyDescent="0.25">
      <c r="B24" s="20" t="s">
        <v>102</v>
      </c>
      <c r="C24" s="67">
        <v>0.46519999999999995</v>
      </c>
    </row>
    <row r="25" spans="1:3" ht="15" customHeight="1" x14ac:dyDescent="0.25">
      <c r="B25" s="20" t="s">
        <v>103</v>
      </c>
      <c r="C25" s="67">
        <v>0.30450000000000005</v>
      </c>
    </row>
    <row r="26" spans="1:3" ht="15" customHeight="1" x14ac:dyDescent="0.25">
      <c r="B26" s="20" t="s">
        <v>104</v>
      </c>
      <c r="C26" s="67">
        <v>7.5700000000000003E-2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196</v>
      </c>
      <c r="B28" s="20"/>
      <c r="C28" s="20"/>
    </row>
    <row r="29" spans="1:3" ht="14.25" customHeight="1" x14ac:dyDescent="0.25">
      <c r="B29" s="30" t="s">
        <v>75</v>
      </c>
      <c r="C29" s="69">
        <v>0.20699999999999999</v>
      </c>
    </row>
    <row r="30" spans="1:3" ht="14.25" customHeight="1" x14ac:dyDescent="0.25">
      <c r="B30" s="30" t="s">
        <v>76</v>
      </c>
      <c r="C30" s="69">
        <v>3.9E-2</v>
      </c>
    </row>
    <row r="31" spans="1:3" ht="14.25" customHeight="1" x14ac:dyDescent="0.25">
      <c r="B31" s="30" t="s">
        <v>77</v>
      </c>
      <c r="C31" s="69">
        <v>0.107</v>
      </c>
    </row>
    <row r="32" spans="1:3" ht="14.25" customHeight="1" x14ac:dyDescent="0.25">
      <c r="B32" s="30" t="s">
        <v>78</v>
      </c>
      <c r="C32" s="69">
        <v>0.64699999998509883</v>
      </c>
    </row>
    <row r="33" spans="1:5" ht="13.2" x14ac:dyDescent="0.25">
      <c r="B33" s="32" t="s">
        <v>129</v>
      </c>
      <c r="C33" s="70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1">
        <v>22.7</v>
      </c>
    </row>
    <row r="38" spans="1:5" ht="15" customHeight="1" x14ac:dyDescent="0.25">
      <c r="B38" s="16" t="s">
        <v>91</v>
      </c>
      <c r="C38" s="71">
        <v>38.5</v>
      </c>
      <c r="D38" s="17"/>
      <c r="E38" s="18"/>
    </row>
    <row r="39" spans="1:5" ht="15" customHeight="1" x14ac:dyDescent="0.25">
      <c r="B39" s="16" t="s">
        <v>90</v>
      </c>
      <c r="C39" s="71">
        <v>55.4</v>
      </c>
      <c r="D39" s="17"/>
      <c r="E39" s="17"/>
    </row>
    <row r="40" spans="1:5" ht="15" customHeight="1" x14ac:dyDescent="0.25">
      <c r="B40" s="16" t="s">
        <v>171</v>
      </c>
      <c r="C40" s="71">
        <v>6.34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71">
        <v>21.8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2.8999999999999998E-2</v>
      </c>
      <c r="D45" s="17"/>
    </row>
    <row r="46" spans="1:5" ht="15.75" customHeight="1" x14ac:dyDescent="0.25">
      <c r="B46" s="16" t="s">
        <v>11</v>
      </c>
      <c r="C46" s="67">
        <v>0.1517</v>
      </c>
      <c r="D46" s="17"/>
    </row>
    <row r="47" spans="1:5" ht="15.75" customHeight="1" x14ac:dyDescent="0.25">
      <c r="B47" s="16" t="s">
        <v>12</v>
      </c>
      <c r="C47" s="67">
        <v>0.20319999999999999</v>
      </c>
      <c r="D47" s="17"/>
      <c r="E47" s="18"/>
    </row>
    <row r="48" spans="1:5" ht="15" customHeight="1" x14ac:dyDescent="0.25">
      <c r="B48" s="16" t="s">
        <v>26</v>
      </c>
      <c r="C48" s="68">
        <f>1-term_SGA-preterm_AGA-preterm_SGA</f>
        <v>0.61609999999999998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2">
        <v>3.3965140548475001</v>
      </c>
      <c r="D51" s="17"/>
    </row>
    <row r="52" spans="1:4" ht="15" customHeight="1" x14ac:dyDescent="0.25">
      <c r="B52" s="16" t="s">
        <v>125</v>
      </c>
      <c r="C52" s="72">
        <v>4.7605460963899997</v>
      </c>
    </row>
    <row r="53" spans="1:4" ht="15.75" customHeight="1" x14ac:dyDescent="0.25">
      <c r="B53" s="16" t="s">
        <v>126</v>
      </c>
      <c r="C53" s="72">
        <v>4.7605460963899997</v>
      </c>
    </row>
    <row r="54" spans="1:4" ht="15.75" customHeight="1" x14ac:dyDescent="0.25">
      <c r="B54" s="16" t="s">
        <v>127</v>
      </c>
      <c r="C54" s="72">
        <v>3.08833460499</v>
      </c>
    </row>
    <row r="55" spans="1:4" ht="15.75" customHeight="1" x14ac:dyDescent="0.25">
      <c r="B55" s="16" t="s">
        <v>128</v>
      </c>
      <c r="C55" s="72">
        <v>3.08833460499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0.46536119576171681</v>
      </c>
    </row>
    <row r="60" spans="1:4" ht="15.75" customHeight="1" x14ac:dyDescent="0.25">
      <c r="B60" s="16" t="s">
        <v>269</v>
      </c>
      <c r="C60" s="66">
        <v>0.05</v>
      </c>
    </row>
    <row r="61" spans="1:4" ht="15.75" customHeight="1" x14ac:dyDescent="0.25">
      <c r="B61" s="16" t="s">
        <v>270</v>
      </c>
      <c r="C61" s="66">
        <v>0.01</v>
      </c>
    </row>
    <row r="63" spans="1:4" ht="15.75" customHeight="1" x14ac:dyDescent="0.25">
      <c r="A63" s="4"/>
    </row>
  </sheetData>
  <sheetProtection algorithmName="SHA-512" hashValue="6vBZiUpKF81G/we4/YZ98KetIv0SrNKtQefNuwvLhXejAdwetO4LiAsNak9JhiAk3T9oiMUputwflWPXg8CU+Q==" saltValue="y73DDGbNqaWLRrBT8qLb5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16"/>
    </sheetView>
  </sheetViews>
  <sheetFormatPr defaultColWidth="14.44140625" defaultRowHeight="15.75" customHeight="1" x14ac:dyDescent="0.25"/>
  <cols>
    <col min="1" max="1" width="8.44140625" style="12" customWidth="1"/>
    <col min="2" max="9" width="16.886718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3">
        <v>718662.12</v>
      </c>
      <c r="C2" s="74">
        <v>1131000</v>
      </c>
      <c r="D2" s="74">
        <v>1822000</v>
      </c>
      <c r="E2" s="74">
        <v>1253000</v>
      </c>
      <c r="F2" s="74">
        <v>751000</v>
      </c>
      <c r="G2" s="22">
        <f t="shared" ref="G2:G40" si="0">C2+D2+E2+F2</f>
        <v>4957000</v>
      </c>
      <c r="H2" s="22">
        <f t="shared" ref="H2:H40" si="1">(B2 + stillbirth*B2/(1000-stillbirth))/(1-abortion)</f>
        <v>844457.5892385029</v>
      </c>
      <c r="I2" s="22">
        <f>G2-H2</f>
        <v>4112542.410761497</v>
      </c>
    </row>
    <row r="3" spans="1:9" ht="15.75" customHeight="1" x14ac:dyDescent="0.25">
      <c r="A3" s="7">
        <f t="shared" ref="A3:A40" si="2">IF($A$2+ROW(A3)-2&lt;=end_year,A2+1,"")</f>
        <v>2021</v>
      </c>
      <c r="B3" s="73">
        <v>730790.89319999993</v>
      </c>
      <c r="C3" s="74">
        <v>1166000</v>
      </c>
      <c r="D3" s="74">
        <v>1870000</v>
      </c>
      <c r="E3" s="74">
        <v>1305000</v>
      </c>
      <c r="F3" s="74">
        <v>784000</v>
      </c>
      <c r="G3" s="22">
        <f t="shared" si="0"/>
        <v>5125000</v>
      </c>
      <c r="H3" s="22">
        <f t="shared" si="1"/>
        <v>858709.3972743745</v>
      </c>
      <c r="I3" s="22">
        <f t="shared" ref="I3:I15" si="3">G3-H3</f>
        <v>4266290.602725625</v>
      </c>
    </row>
    <row r="4" spans="1:9" ht="15.75" customHeight="1" x14ac:dyDescent="0.25">
      <c r="A4" s="7">
        <f t="shared" si="2"/>
        <v>2022</v>
      </c>
      <c r="B4" s="73">
        <v>742846.22199999983</v>
      </c>
      <c r="C4" s="74">
        <v>1207000</v>
      </c>
      <c r="D4" s="74">
        <v>1919000</v>
      </c>
      <c r="E4" s="74">
        <v>1360000</v>
      </c>
      <c r="F4" s="74">
        <v>819000</v>
      </c>
      <c r="G4" s="22">
        <f t="shared" si="0"/>
        <v>5305000</v>
      </c>
      <c r="H4" s="22">
        <f t="shared" si="1"/>
        <v>872874.90511542407</v>
      </c>
      <c r="I4" s="22">
        <f t="shared" si="3"/>
        <v>4432125.0948845763</v>
      </c>
    </row>
    <row r="5" spans="1:9" ht="15.75" customHeight="1" x14ac:dyDescent="0.25">
      <c r="A5" s="7">
        <f t="shared" si="2"/>
        <v>2023</v>
      </c>
      <c r="B5" s="73">
        <v>754849.30919999979</v>
      </c>
      <c r="C5" s="74">
        <v>1250000</v>
      </c>
      <c r="D5" s="74">
        <v>1973000</v>
      </c>
      <c r="E5" s="74">
        <v>1415000</v>
      </c>
      <c r="F5" s="74">
        <v>856000</v>
      </c>
      <c r="G5" s="22">
        <f t="shared" si="0"/>
        <v>5494000</v>
      </c>
      <c r="H5" s="22">
        <f t="shared" si="1"/>
        <v>886979.02692489338</v>
      </c>
      <c r="I5" s="22">
        <f t="shared" si="3"/>
        <v>4607020.9730751067</v>
      </c>
    </row>
    <row r="6" spans="1:9" ht="15.75" customHeight="1" x14ac:dyDescent="0.25">
      <c r="A6" s="7">
        <f t="shared" si="2"/>
        <v>2024</v>
      </c>
      <c r="B6" s="73">
        <v>766819.77679999976</v>
      </c>
      <c r="C6" s="74">
        <v>1288000</v>
      </c>
      <c r="D6" s="74">
        <v>2029000</v>
      </c>
      <c r="E6" s="74">
        <v>1470000</v>
      </c>
      <c r="F6" s="74">
        <v>895000</v>
      </c>
      <c r="G6" s="22">
        <f t="shared" si="0"/>
        <v>5682000</v>
      </c>
      <c r="H6" s="22">
        <f t="shared" si="1"/>
        <v>901044.81936091837</v>
      </c>
      <c r="I6" s="22">
        <f t="shared" si="3"/>
        <v>4780955.1806390816</v>
      </c>
    </row>
    <row r="7" spans="1:9" ht="15.75" customHeight="1" x14ac:dyDescent="0.25">
      <c r="A7" s="7">
        <f t="shared" si="2"/>
        <v>2025</v>
      </c>
      <c r="B7" s="73">
        <v>778708.75800000003</v>
      </c>
      <c r="C7" s="74">
        <v>1318000</v>
      </c>
      <c r="D7" s="74">
        <v>2090000</v>
      </c>
      <c r="E7" s="74">
        <v>1522000</v>
      </c>
      <c r="F7" s="74">
        <v>937000</v>
      </c>
      <c r="G7" s="22">
        <f t="shared" si="0"/>
        <v>5867000</v>
      </c>
      <c r="H7" s="22">
        <f t="shared" si="1"/>
        <v>915014.86192091031</v>
      </c>
      <c r="I7" s="22">
        <f t="shared" si="3"/>
        <v>4951985.13807909</v>
      </c>
    </row>
    <row r="8" spans="1:9" ht="15.75" customHeight="1" x14ac:dyDescent="0.25">
      <c r="A8" s="7">
        <f t="shared" si="2"/>
        <v>2026</v>
      </c>
      <c r="B8" s="73">
        <v>789707.23920000007</v>
      </c>
      <c r="C8" s="74">
        <v>1341000</v>
      </c>
      <c r="D8" s="74">
        <v>2153000</v>
      </c>
      <c r="E8" s="74">
        <v>1573000</v>
      </c>
      <c r="F8" s="74">
        <v>983000</v>
      </c>
      <c r="G8" s="22">
        <f t="shared" si="0"/>
        <v>6050000</v>
      </c>
      <c r="H8" s="22">
        <f t="shared" si="1"/>
        <v>927938.53030548734</v>
      </c>
      <c r="I8" s="22">
        <f t="shared" si="3"/>
        <v>5122061.4696945129</v>
      </c>
    </row>
    <row r="9" spans="1:9" ht="15.75" customHeight="1" x14ac:dyDescent="0.25">
      <c r="A9" s="7">
        <f t="shared" si="2"/>
        <v>2027</v>
      </c>
      <c r="B9" s="73">
        <v>800580.06239999994</v>
      </c>
      <c r="C9" s="74">
        <v>1357000</v>
      </c>
      <c r="D9" s="74">
        <v>2221000</v>
      </c>
      <c r="E9" s="74">
        <v>1624000</v>
      </c>
      <c r="F9" s="74">
        <v>1033000</v>
      </c>
      <c r="G9" s="22">
        <f t="shared" si="0"/>
        <v>6235000</v>
      </c>
      <c r="H9" s="22">
        <f t="shared" si="1"/>
        <v>940714.54536481493</v>
      </c>
      <c r="I9" s="22">
        <f t="shared" si="3"/>
        <v>5294285.4546351852</v>
      </c>
    </row>
    <row r="10" spans="1:9" ht="15.75" customHeight="1" x14ac:dyDescent="0.25">
      <c r="A10" s="7">
        <f t="shared" si="2"/>
        <v>2028</v>
      </c>
      <c r="B10" s="73">
        <v>811278.2503999999</v>
      </c>
      <c r="C10" s="74">
        <v>1368000</v>
      </c>
      <c r="D10" s="74">
        <v>2290000</v>
      </c>
      <c r="E10" s="74">
        <v>1671000</v>
      </c>
      <c r="F10" s="74">
        <v>1084000</v>
      </c>
      <c r="G10" s="22">
        <f t="shared" si="0"/>
        <v>6413000</v>
      </c>
      <c r="H10" s="22">
        <f t="shared" si="1"/>
        <v>953285.35687175824</v>
      </c>
      <c r="I10" s="22">
        <f t="shared" si="3"/>
        <v>5459714.6431282414</v>
      </c>
    </row>
    <row r="11" spans="1:9" ht="15.75" customHeight="1" x14ac:dyDescent="0.25">
      <c r="A11" s="7">
        <f t="shared" si="2"/>
        <v>2029</v>
      </c>
      <c r="B11" s="73">
        <v>821691.09239999985</v>
      </c>
      <c r="C11" s="74">
        <v>1382000</v>
      </c>
      <c r="D11" s="74">
        <v>2358000</v>
      </c>
      <c r="E11" s="74">
        <v>1721000</v>
      </c>
      <c r="F11" s="74">
        <v>1137000</v>
      </c>
      <c r="G11" s="22">
        <f t="shared" si="0"/>
        <v>6598000</v>
      </c>
      <c r="H11" s="22">
        <f t="shared" si="1"/>
        <v>965520.87507667125</v>
      </c>
      <c r="I11" s="22">
        <f t="shared" si="3"/>
        <v>5632479.1249233289</v>
      </c>
    </row>
    <row r="12" spans="1:9" ht="15.75" customHeight="1" x14ac:dyDescent="0.25">
      <c r="A12" s="7">
        <f t="shared" si="2"/>
        <v>2030</v>
      </c>
      <c r="B12" s="73">
        <v>831838.24399999995</v>
      </c>
      <c r="C12" s="74">
        <v>1403000</v>
      </c>
      <c r="D12" s="74">
        <v>2423000</v>
      </c>
      <c r="E12" s="74">
        <v>1771000</v>
      </c>
      <c r="F12" s="74">
        <v>1190000</v>
      </c>
      <c r="G12" s="22">
        <f t="shared" si="0"/>
        <v>6787000</v>
      </c>
      <c r="H12" s="22">
        <f t="shared" si="1"/>
        <v>977444.19611907401</v>
      </c>
      <c r="I12" s="22">
        <f t="shared" si="3"/>
        <v>5809555.8038809262</v>
      </c>
    </row>
    <row r="13" spans="1:9" ht="15.75" customHeight="1" x14ac:dyDescent="0.25">
      <c r="A13" s="7" t="str">
        <f t="shared" si="2"/>
        <v/>
      </c>
      <c r="B13" s="73">
        <v>1098000</v>
      </c>
      <c r="C13" s="74">
        <v>1773000</v>
      </c>
      <c r="D13" s="74">
        <v>1200000</v>
      </c>
      <c r="E13" s="74">
        <v>718000</v>
      </c>
      <c r="F13" s="74">
        <v>4.0551966000000002E-2</v>
      </c>
      <c r="G13" s="22">
        <f t="shared" si="0"/>
        <v>3691000.0405519661</v>
      </c>
      <c r="H13" s="22">
        <f t="shared" si="1"/>
        <v>1290195.221342508</v>
      </c>
      <c r="I13" s="22">
        <f t="shared" si="3"/>
        <v>2400804.8192094583</v>
      </c>
    </row>
    <row r="14" spans="1:9" ht="15.75" customHeight="1" x14ac:dyDescent="0.25">
      <c r="A14" s="7" t="str">
        <f t="shared" si="2"/>
        <v/>
      </c>
      <c r="B14" s="73"/>
      <c r="C14" s="74"/>
      <c r="D14" s="74"/>
      <c r="E14" s="74"/>
      <c r="F14" s="74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3"/>
      <c r="C15" s="74"/>
      <c r="D15" s="74"/>
      <c r="E15" s="74"/>
      <c r="F15" s="74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6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5">
        <v>4.0551966000000002E-2</v>
      </c>
    </row>
    <row r="4" spans="1:8" ht="15.75" customHeight="1" x14ac:dyDescent="0.25">
      <c r="B4" s="24" t="s">
        <v>7</v>
      </c>
      <c r="C4" s="75">
        <v>0.18681257035456697</v>
      </c>
    </row>
    <row r="5" spans="1:8" ht="15.75" customHeight="1" x14ac:dyDescent="0.25">
      <c r="B5" s="24" t="s">
        <v>8</v>
      </c>
      <c r="C5" s="75">
        <v>0.10309279155834371</v>
      </c>
    </row>
    <row r="6" spans="1:8" ht="15.75" customHeight="1" x14ac:dyDescent="0.25">
      <c r="B6" s="24" t="s">
        <v>10</v>
      </c>
      <c r="C6" s="75">
        <v>0.14733876602763335</v>
      </c>
    </row>
    <row r="7" spans="1:8" ht="15.75" customHeight="1" x14ac:dyDescent="0.25">
      <c r="B7" s="24" t="s">
        <v>13</v>
      </c>
      <c r="C7" s="75">
        <v>0.1145443339612648</v>
      </c>
    </row>
    <row r="8" spans="1:8" ht="15.75" customHeight="1" x14ac:dyDescent="0.25">
      <c r="B8" s="24" t="s">
        <v>14</v>
      </c>
      <c r="C8" s="75">
        <v>1.0795965812594805E-2</v>
      </c>
    </row>
    <row r="9" spans="1:8" ht="15.75" customHeight="1" x14ac:dyDescent="0.25">
      <c r="B9" s="24" t="s">
        <v>27</v>
      </c>
      <c r="C9" s="75">
        <v>0.1065634490431745</v>
      </c>
    </row>
    <row r="10" spans="1:8" ht="15.75" customHeight="1" x14ac:dyDescent="0.25">
      <c r="B10" s="24" t="s">
        <v>15</v>
      </c>
      <c r="C10" s="75">
        <v>0.29030015724242186</v>
      </c>
    </row>
    <row r="11" spans="1:8" ht="15.75" customHeight="1" x14ac:dyDescent="0.25">
      <c r="B11" s="32" t="s">
        <v>129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5">
        <v>0.10077669501779701</v>
      </c>
      <c r="D14" s="75">
        <v>0.10077669501779701</v>
      </c>
      <c r="E14" s="75">
        <v>9.9010860613857193E-2</v>
      </c>
      <c r="F14" s="75">
        <v>9.9010860613857193E-2</v>
      </c>
    </row>
    <row r="15" spans="1:8" ht="15.75" customHeight="1" x14ac:dyDescent="0.25">
      <c r="B15" s="24" t="s">
        <v>16</v>
      </c>
      <c r="C15" s="75">
        <v>0.16117554941557599</v>
      </c>
      <c r="D15" s="75">
        <v>0.16117554941557599</v>
      </c>
      <c r="E15" s="75">
        <v>0.10681496066962901</v>
      </c>
      <c r="F15" s="75">
        <v>0.10681496066962901</v>
      </c>
    </row>
    <row r="16" spans="1:8" ht="15.75" customHeight="1" x14ac:dyDescent="0.25">
      <c r="B16" s="24" t="s">
        <v>17</v>
      </c>
      <c r="C16" s="75">
        <v>3.6729659287297899E-2</v>
      </c>
      <c r="D16" s="75">
        <v>3.6729659287297899E-2</v>
      </c>
      <c r="E16" s="75">
        <v>4.2692744779975603E-2</v>
      </c>
      <c r="F16" s="75">
        <v>4.2692744779975603E-2</v>
      </c>
    </row>
    <row r="17" spans="1:8" ht="15.75" customHeight="1" x14ac:dyDescent="0.25">
      <c r="B17" s="24" t="s">
        <v>18</v>
      </c>
      <c r="C17" s="75">
        <v>2.3173674118764899E-2</v>
      </c>
      <c r="D17" s="75">
        <v>2.3173674118764899E-2</v>
      </c>
      <c r="E17" s="75">
        <v>6.1564888796968698E-2</v>
      </c>
      <c r="F17" s="75">
        <v>6.1564888796968698E-2</v>
      </c>
    </row>
    <row r="18" spans="1:8" ht="15.75" customHeight="1" x14ac:dyDescent="0.25">
      <c r="B18" s="24" t="s">
        <v>19</v>
      </c>
      <c r="C18" s="75">
        <v>9.3450033292537496E-2</v>
      </c>
      <c r="D18" s="75">
        <v>9.3450033292537496E-2</v>
      </c>
      <c r="E18" s="75">
        <v>0.151525323948972</v>
      </c>
      <c r="F18" s="75">
        <v>0.151525323948972</v>
      </c>
    </row>
    <row r="19" spans="1:8" ht="15.75" customHeight="1" x14ac:dyDescent="0.25">
      <c r="B19" s="24" t="s">
        <v>20</v>
      </c>
      <c r="C19" s="75">
        <v>3.5501608968256701E-2</v>
      </c>
      <c r="D19" s="75">
        <v>3.5501608968256701E-2</v>
      </c>
      <c r="E19" s="75">
        <v>4.0177138032839198E-2</v>
      </c>
      <c r="F19" s="75">
        <v>4.0177138032839198E-2</v>
      </c>
    </row>
    <row r="20" spans="1:8" ht="15.75" customHeight="1" x14ac:dyDescent="0.25">
      <c r="B20" s="24" t="s">
        <v>21</v>
      </c>
      <c r="C20" s="75">
        <v>0.22206818726875099</v>
      </c>
      <c r="D20" s="75">
        <v>0.22206818726875099</v>
      </c>
      <c r="E20" s="75">
        <v>0.10210393288464999</v>
      </c>
      <c r="F20" s="75">
        <v>0.10210393288464999</v>
      </c>
    </row>
    <row r="21" spans="1:8" ht="15.75" customHeight="1" x14ac:dyDescent="0.25">
      <c r="B21" s="24" t="s">
        <v>22</v>
      </c>
      <c r="C21" s="75">
        <v>1.9078716121965902E-2</v>
      </c>
      <c r="D21" s="75">
        <v>1.9078716121965902E-2</v>
      </c>
      <c r="E21" s="75">
        <v>6.0211393323887599E-2</v>
      </c>
      <c r="F21" s="75">
        <v>6.0211393323887599E-2</v>
      </c>
    </row>
    <row r="22" spans="1:8" ht="15.75" customHeight="1" x14ac:dyDescent="0.25">
      <c r="B22" s="24" t="s">
        <v>23</v>
      </c>
      <c r="C22" s="75">
        <v>0.30804587650905313</v>
      </c>
      <c r="D22" s="75">
        <v>0.30804587650905313</v>
      </c>
      <c r="E22" s="75">
        <v>0.33589875694922067</v>
      </c>
      <c r="F22" s="75">
        <v>0.33589875694922067</v>
      </c>
    </row>
    <row r="23" spans="1:8" ht="15.75" customHeight="1" x14ac:dyDescent="0.25">
      <c r="B23" s="32" t="s">
        <v>129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5">
        <v>8.1900000000000001E-2</v>
      </c>
    </row>
    <row r="27" spans="1:8" ht="15.75" customHeight="1" x14ac:dyDescent="0.25">
      <c r="B27" s="24" t="s">
        <v>39</v>
      </c>
      <c r="C27" s="75">
        <v>8.199999999999999E-3</v>
      </c>
    </row>
    <row r="28" spans="1:8" ht="15.75" customHeight="1" x14ac:dyDescent="0.25">
      <c r="B28" s="24" t="s">
        <v>40</v>
      </c>
      <c r="C28" s="75">
        <v>0.14550000000000002</v>
      </c>
    </row>
    <row r="29" spans="1:8" ht="15.75" customHeight="1" x14ac:dyDescent="0.25">
      <c r="B29" s="24" t="s">
        <v>41</v>
      </c>
      <c r="C29" s="75">
        <v>0.15759999999999999</v>
      </c>
    </row>
    <row r="30" spans="1:8" ht="15.75" customHeight="1" x14ac:dyDescent="0.25">
      <c r="B30" s="24" t="s">
        <v>42</v>
      </c>
      <c r="C30" s="75">
        <v>9.9199999999999997E-2</v>
      </c>
    </row>
    <row r="31" spans="1:8" ht="15.75" customHeight="1" x14ac:dyDescent="0.25">
      <c r="B31" s="24" t="s">
        <v>43</v>
      </c>
      <c r="C31" s="75">
        <v>0.10220000000000001</v>
      </c>
    </row>
    <row r="32" spans="1:8" ht="15.75" customHeight="1" x14ac:dyDescent="0.25">
      <c r="B32" s="24" t="s">
        <v>44</v>
      </c>
      <c r="C32" s="75">
        <v>1.7399999999999999E-2</v>
      </c>
    </row>
    <row r="33" spans="2:3" ht="15.75" customHeight="1" x14ac:dyDescent="0.25">
      <c r="B33" s="24" t="s">
        <v>45</v>
      </c>
      <c r="C33" s="75">
        <v>7.9100000000000004E-2</v>
      </c>
    </row>
    <row r="34" spans="2:3" ht="15.75" customHeight="1" x14ac:dyDescent="0.25">
      <c r="B34" s="24" t="s">
        <v>46</v>
      </c>
      <c r="C34" s="75">
        <v>0.30890000000000001</v>
      </c>
    </row>
    <row r="35" spans="2:3" ht="15.75" customHeight="1" x14ac:dyDescent="0.25">
      <c r="B35" s="32" t="s">
        <v>129</v>
      </c>
      <c r="C35" s="70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6">
        <v>0.5197017053010472</v>
      </c>
      <c r="D2" s="76">
        <v>0.5197017053010472</v>
      </c>
      <c r="E2" s="76">
        <v>0.46135763871595331</v>
      </c>
      <c r="F2" s="76">
        <v>0.29833713056726097</v>
      </c>
      <c r="G2" s="76">
        <v>0.24307446058823529</v>
      </c>
    </row>
    <row r="3" spans="1:15" ht="15.75" customHeight="1" x14ac:dyDescent="0.25">
      <c r="A3" s="5"/>
      <c r="B3" s="11" t="s">
        <v>118</v>
      </c>
      <c r="C3" s="76">
        <v>0.23371784469895288</v>
      </c>
      <c r="D3" s="76">
        <v>0.23371784469895288</v>
      </c>
      <c r="E3" s="76">
        <v>0.30360309128404667</v>
      </c>
      <c r="F3" s="76">
        <v>0.31320442943273907</v>
      </c>
      <c r="G3" s="76">
        <v>0.34724922941176467</v>
      </c>
    </row>
    <row r="4" spans="1:15" ht="15.75" customHeight="1" x14ac:dyDescent="0.25">
      <c r="A4" s="5"/>
      <c r="B4" s="11" t="s">
        <v>116</v>
      </c>
      <c r="C4" s="77">
        <v>0.16612835402542375</v>
      </c>
      <c r="D4" s="77">
        <v>0.16612835402542375</v>
      </c>
      <c r="E4" s="77">
        <v>0.17858879030567684</v>
      </c>
      <c r="F4" s="77">
        <v>0.29514727425587473</v>
      </c>
      <c r="G4" s="77">
        <v>0.2862676437777778</v>
      </c>
    </row>
    <row r="5" spans="1:15" ht="15.75" customHeight="1" x14ac:dyDescent="0.25">
      <c r="A5" s="5"/>
      <c r="B5" s="11" t="s">
        <v>119</v>
      </c>
      <c r="C5" s="77">
        <v>8.0452095974576282E-2</v>
      </c>
      <c r="D5" s="77">
        <v>8.0452095974576282E-2</v>
      </c>
      <c r="E5" s="77">
        <v>5.6450479694323152E-2</v>
      </c>
      <c r="F5" s="77">
        <v>9.3311165744125332E-2</v>
      </c>
      <c r="G5" s="77">
        <v>0.12340866622222224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6">
        <v>0.9078899806029106</v>
      </c>
      <c r="D8" s="76">
        <v>0.9078899806029106</v>
      </c>
      <c r="E8" s="76">
        <v>0.83385155234374997</v>
      </c>
      <c r="F8" s="76">
        <v>0.84962509778260864</v>
      </c>
      <c r="G8" s="76">
        <v>0.87334004659168374</v>
      </c>
    </row>
    <row r="9" spans="1:15" ht="15.75" customHeight="1" x14ac:dyDescent="0.25">
      <c r="B9" s="7" t="s">
        <v>121</v>
      </c>
      <c r="C9" s="76">
        <v>5.2935279397089391E-2</v>
      </c>
      <c r="D9" s="76">
        <v>5.2935279397089391E-2</v>
      </c>
      <c r="E9" s="76">
        <v>0.12597757265624998</v>
      </c>
      <c r="F9" s="76">
        <v>0.11708614421739129</v>
      </c>
      <c r="G9" s="76">
        <v>0.10392147007498295</v>
      </c>
    </row>
    <row r="10" spans="1:15" ht="15.75" customHeight="1" x14ac:dyDescent="0.25">
      <c r="B10" s="7" t="s">
        <v>122</v>
      </c>
      <c r="C10" s="77">
        <v>2.5451749999999999E-2</v>
      </c>
      <c r="D10" s="77">
        <v>2.5451749999999999E-2</v>
      </c>
      <c r="E10" s="77">
        <v>3.3468595599999998E-2</v>
      </c>
      <c r="F10" s="77">
        <v>2.9212367999999999E-2</v>
      </c>
      <c r="G10" s="77">
        <v>1.6815094233333334E-2</v>
      </c>
    </row>
    <row r="11" spans="1:15" ht="15.75" customHeight="1" x14ac:dyDescent="0.25">
      <c r="B11" s="7" t="s">
        <v>123</v>
      </c>
      <c r="C11" s="77">
        <v>1.3722989999999999E-2</v>
      </c>
      <c r="D11" s="77">
        <v>1.3722989999999999E-2</v>
      </c>
      <c r="E11" s="77">
        <v>6.7022793999999995E-3</v>
      </c>
      <c r="F11" s="77">
        <v>4.07639E-3</v>
      </c>
      <c r="G11" s="77">
        <v>5.923389099999999E-3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8">
        <v>0.92287291025000007</v>
      </c>
      <c r="D14" s="78">
        <v>0.92046457879800003</v>
      </c>
      <c r="E14" s="78">
        <v>0.92046457879800003</v>
      </c>
      <c r="F14" s="78">
        <v>0.65915158875500002</v>
      </c>
      <c r="G14" s="78">
        <v>0.65915158875500002</v>
      </c>
      <c r="H14" s="79">
        <v>0.41799999999999998</v>
      </c>
      <c r="I14" s="79">
        <v>0.41799999999999998</v>
      </c>
      <c r="J14" s="79">
        <v>0.41799999999999998</v>
      </c>
      <c r="K14" s="79">
        <v>0.41799999999999998</v>
      </c>
      <c r="L14" s="79">
        <v>0.50387126232099999</v>
      </c>
      <c r="M14" s="79">
        <v>0.30772150349999999</v>
      </c>
      <c r="N14" s="79">
        <v>0.32862500184699994</v>
      </c>
      <c r="O14" s="79">
        <v>0.35603378418600001</v>
      </c>
    </row>
    <row r="15" spans="1:15" ht="15.75" customHeight="1" x14ac:dyDescent="0.25">
      <c r="B15" s="16" t="s">
        <v>68</v>
      </c>
      <c r="C15" s="76">
        <f t="shared" ref="C15:O15" si="0">iron_deficiency_anaemia*C14</f>
        <v>0.42946924105003559</v>
      </c>
      <c r="D15" s="76">
        <f t="shared" si="0"/>
        <v>0.42834849704574229</v>
      </c>
      <c r="E15" s="76">
        <f t="shared" si="0"/>
        <v>0.42834849704574229</v>
      </c>
      <c r="F15" s="76">
        <f t="shared" si="0"/>
        <v>0.30674357153126219</v>
      </c>
      <c r="G15" s="76">
        <f t="shared" si="0"/>
        <v>0.30674357153126219</v>
      </c>
      <c r="H15" s="76">
        <f t="shared" si="0"/>
        <v>0.19452097982839761</v>
      </c>
      <c r="I15" s="76">
        <f t="shared" si="0"/>
        <v>0.19452097982839761</v>
      </c>
      <c r="J15" s="76">
        <f t="shared" si="0"/>
        <v>0.19452097982839761</v>
      </c>
      <c r="K15" s="76">
        <f t="shared" si="0"/>
        <v>0.19452097982839761</v>
      </c>
      <c r="L15" s="76">
        <f t="shared" si="0"/>
        <v>0.23448213314366623</v>
      </c>
      <c r="M15" s="76">
        <f t="shared" si="0"/>
        <v>0.14320164683035333</v>
      </c>
      <c r="N15" s="76">
        <f t="shared" si="0"/>
        <v>0.15292932381671628</v>
      </c>
      <c r="O15" s="76">
        <f t="shared" si="0"/>
        <v>0.16568430754036598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7">
        <v>0.80299999999999994</v>
      </c>
      <c r="D2" s="77">
        <v>0.56899999999999995</v>
      </c>
      <c r="E2" s="77">
        <v>0</v>
      </c>
      <c r="F2" s="77">
        <v>0</v>
      </c>
      <c r="G2" s="77">
        <v>0</v>
      </c>
    </row>
    <row r="3" spans="1:7" x14ac:dyDescent="0.25">
      <c r="B3" s="43" t="s">
        <v>167</v>
      </c>
      <c r="C3" s="77">
        <v>4.8000000000000001E-2</v>
      </c>
      <c r="D3" s="77">
        <v>0.13100000000000001</v>
      </c>
      <c r="E3" s="77">
        <v>0</v>
      </c>
      <c r="F3" s="77">
        <v>0</v>
      </c>
      <c r="G3" s="77">
        <v>0</v>
      </c>
    </row>
    <row r="4" spans="1:7" x14ac:dyDescent="0.25">
      <c r="B4" s="43" t="s">
        <v>168</v>
      </c>
      <c r="C4" s="77">
        <v>5.9000000000000004E-2</v>
      </c>
      <c r="D4" s="77">
        <v>0.23300000000000001</v>
      </c>
      <c r="E4" s="77">
        <v>0.93299999999999994</v>
      </c>
      <c r="F4" s="77">
        <v>0.83799999999999997</v>
      </c>
      <c r="G4" s="77">
        <v>0</v>
      </c>
    </row>
    <row r="5" spans="1:7" x14ac:dyDescent="0.25">
      <c r="B5" s="43" t="s">
        <v>169</v>
      </c>
      <c r="C5" s="76">
        <f>1-SUM(C2:C4)</f>
        <v>8.9999999999999969E-2</v>
      </c>
      <c r="D5" s="76">
        <f t="shared" ref="D5:G5" si="0">1-SUM(D2:D4)</f>
        <v>6.700000000000006E-2</v>
      </c>
      <c r="E5" s="76">
        <f t="shared" si="0"/>
        <v>6.700000000000006E-2</v>
      </c>
      <c r="F5" s="76">
        <f t="shared" si="0"/>
        <v>0.16200000000000003</v>
      </c>
      <c r="G5" s="76">
        <f t="shared" si="0"/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4" sqref="C14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2020</v>
      </c>
      <c r="D1">
        <f>C1+1</f>
        <v>2021</v>
      </c>
      <c r="E1">
        <f t="shared" ref="E1:M1" si="0">D1+1</f>
        <v>2022</v>
      </c>
      <c r="F1">
        <f t="shared" si="0"/>
        <v>2023</v>
      </c>
      <c r="G1">
        <f t="shared" si="0"/>
        <v>2024</v>
      </c>
      <c r="H1">
        <f t="shared" si="0"/>
        <v>2025</v>
      </c>
      <c r="I1">
        <f t="shared" si="0"/>
        <v>2026</v>
      </c>
      <c r="J1">
        <f t="shared" si="0"/>
        <v>2027</v>
      </c>
      <c r="K1">
        <f t="shared" si="0"/>
        <v>2028</v>
      </c>
      <c r="L1">
        <f>K1+1</f>
        <v>2029</v>
      </c>
      <c r="M1">
        <f t="shared" si="0"/>
        <v>2030</v>
      </c>
    </row>
    <row r="2" spans="1:13" x14ac:dyDescent="0.25">
      <c r="A2" t="s">
        <v>139</v>
      </c>
      <c r="B2" s="14" t="s">
        <v>143</v>
      </c>
      <c r="C2" s="28">
        <v>0.35569000000000001</v>
      </c>
      <c r="D2" s="28">
        <v>0.34756999999999999</v>
      </c>
      <c r="E2" s="28">
        <v>0.33986</v>
      </c>
      <c r="F2" s="28">
        <v>0.33224999999999999</v>
      </c>
      <c r="G2" s="28">
        <v>0.32488999999999996</v>
      </c>
      <c r="H2" s="28">
        <v>0.31768999999999997</v>
      </c>
      <c r="I2" s="28">
        <v>0.31073000000000001</v>
      </c>
      <c r="J2" s="28">
        <v>0.30395</v>
      </c>
      <c r="K2" s="28">
        <v>0.29729</v>
      </c>
      <c r="L2" s="28">
        <v>0.29071000000000002</v>
      </c>
      <c r="M2" s="28">
        <v>0.28422000000000003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3.3319999999999995E-2</v>
      </c>
      <c r="D4" s="28">
        <v>3.2579999999999998E-2</v>
      </c>
      <c r="E4" s="28">
        <v>3.1859999999999999E-2</v>
      </c>
      <c r="F4" s="28">
        <v>3.116E-2</v>
      </c>
      <c r="G4" s="28">
        <v>3.048E-2</v>
      </c>
      <c r="H4" s="28">
        <v>2.981E-2</v>
      </c>
      <c r="I4" s="28">
        <v>2.9159999999999998E-2</v>
      </c>
      <c r="J4" s="28">
        <v>2.8530000000000003E-2</v>
      </c>
      <c r="K4" s="28">
        <v>2.7910000000000001E-2</v>
      </c>
      <c r="L4" s="28">
        <v>2.7309999999999997E-2</v>
      </c>
      <c r="M4" s="28">
        <v>2.673E-2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0.33108323570089648</v>
      </c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0.19452097982839761</v>
      </c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0.16544466993121962</v>
      </c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25">
      <c r="C9" s="137"/>
    </row>
    <row r="10" spans="1:13" x14ac:dyDescent="0.25">
      <c r="A10" t="s">
        <v>142</v>
      </c>
      <c r="B10" s="16" t="s">
        <v>147</v>
      </c>
      <c r="C10" s="28">
        <f>('Breastfeeding distribution'!C2 + 5*'Breastfeeding distribution'!D2)/6</f>
        <v>0.60799999999999998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x14ac:dyDescent="0.25">
      <c r="B11" s="34" t="s">
        <v>146</v>
      </c>
      <c r="C11" s="28">
        <f>('Breastfeeding distribution'!E4+2*'Breastfeeding distribution'!F4)/3</f>
        <v>0.8696666666666667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3" spans="1:13" x14ac:dyDescent="0.25">
      <c r="A13" s="12" t="s">
        <v>74</v>
      </c>
      <c r="B13" s="34" t="s">
        <v>148</v>
      </c>
      <c r="C13" s="28">
        <v>56.445</v>
      </c>
      <c r="D13" s="28">
        <v>54.201999999999998</v>
      </c>
      <c r="E13" s="28">
        <v>52.109000000000002</v>
      </c>
      <c r="F13" s="28">
        <v>50.158000000000001</v>
      </c>
      <c r="G13" s="28">
        <v>48.331000000000003</v>
      </c>
      <c r="H13" s="28">
        <v>46.634999999999998</v>
      </c>
      <c r="I13" s="28">
        <v>45.011000000000003</v>
      </c>
      <c r="J13" s="28">
        <v>43.482999999999997</v>
      </c>
      <c r="K13" s="28">
        <v>42.045000000000002</v>
      </c>
      <c r="L13" s="28">
        <v>40.667000000000002</v>
      </c>
      <c r="M13" s="28">
        <v>39.356999999999999</v>
      </c>
    </row>
    <row r="14" spans="1:13" x14ac:dyDescent="0.25">
      <c r="B14" s="16" t="s">
        <v>170</v>
      </c>
      <c r="C14" s="28">
        <f>maternal_mortality</f>
        <v>6.34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2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3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4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0"/>
    </row>
    <row r="9" spans="1:5" x14ac:dyDescent="0.25">
      <c r="A9" s="49" t="s">
        <v>198</v>
      </c>
      <c r="B9" s="46" t="s">
        <v>32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2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3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4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0" t="s">
        <v>194</v>
      </c>
    </row>
    <row r="16" spans="1:5" x14ac:dyDescent="0.25">
      <c r="A16" s="49" t="s">
        <v>199</v>
      </c>
      <c r="B16" s="46" t="s">
        <v>32</v>
      </c>
      <c r="C16" s="80"/>
      <c r="D16" s="80" t="s">
        <v>194</v>
      </c>
      <c r="E16" s="57" t="str">
        <f>IF(E$7="","",E$7)</f>
        <v/>
      </c>
    </row>
    <row r="17" spans="1:5" x14ac:dyDescent="0.25">
      <c r="A17" s="47"/>
      <c r="B17" s="46" t="s">
        <v>1</v>
      </c>
      <c r="C17" s="80"/>
      <c r="D17" s="80" t="s">
        <v>194</v>
      </c>
      <c r="E17" s="57" t="str">
        <f>IF(E$7="","",E$7)</f>
        <v/>
      </c>
    </row>
    <row r="18" spans="1:5" x14ac:dyDescent="0.25">
      <c r="A18" s="47"/>
      <c r="B18" s="46" t="s">
        <v>2</v>
      </c>
      <c r="C18" s="80"/>
      <c r="D18" s="80" t="s">
        <v>194</v>
      </c>
      <c r="E18" s="57" t="str">
        <f>IF(E$7="","",E$7)</f>
        <v/>
      </c>
    </row>
    <row r="19" spans="1:5" x14ac:dyDescent="0.25">
      <c r="A19" s="47"/>
      <c r="B19" s="46" t="s">
        <v>3</v>
      </c>
      <c r="C19" s="80"/>
      <c r="D19" s="80" t="s">
        <v>194</v>
      </c>
      <c r="E19" s="57" t="str">
        <f>IF(E$7="","",E$7)</f>
        <v/>
      </c>
    </row>
    <row r="20" spans="1:5" x14ac:dyDescent="0.25">
      <c r="A20" s="47"/>
      <c r="B20" s="46" t="s">
        <v>4</v>
      </c>
      <c r="C20" s="80"/>
      <c r="D20" s="80" t="s">
        <v>194</v>
      </c>
      <c r="E20" s="57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0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60" t="s">
        <v>164</v>
      </c>
      <c r="B1" s="51" t="s">
        <v>181</v>
      </c>
      <c r="C1" s="61" t="s">
        <v>182</v>
      </c>
      <c r="D1" s="61" t="s">
        <v>186</v>
      </c>
    </row>
    <row r="2" spans="1:4" x14ac:dyDescent="0.25">
      <c r="A2" s="61" t="s">
        <v>69</v>
      </c>
      <c r="B2" s="46" t="s">
        <v>67</v>
      </c>
      <c r="C2" s="46" t="s">
        <v>183</v>
      </c>
      <c r="D2" s="80"/>
    </row>
    <row r="3" spans="1:4" x14ac:dyDescent="0.25">
      <c r="A3" s="61" t="s">
        <v>185</v>
      </c>
      <c r="B3" s="46" t="s">
        <v>176</v>
      </c>
      <c r="C3" s="46" t="s">
        <v>184</v>
      </c>
      <c r="D3" s="80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workbookViewId="0">
      <selection activeCell="E31" sqref="E31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4" t="s">
        <v>69</v>
      </c>
      <c r="B1" s="62" t="str">
        <f>"Baseline ("&amp;start_year&amp;") coverage"</f>
        <v>Baseline (2020) coverage</v>
      </c>
      <c r="C1" s="53" t="s">
        <v>200</v>
      </c>
      <c r="D1" s="53" t="s">
        <v>271</v>
      </c>
      <c r="E1" s="53" t="s">
        <v>205</v>
      </c>
    </row>
    <row r="2" spans="1:5" ht="15.75" customHeight="1" x14ac:dyDescent="0.25">
      <c r="A2" s="52" t="s">
        <v>29</v>
      </c>
      <c r="B2" s="81">
        <v>0</v>
      </c>
      <c r="C2" s="81">
        <v>0.95</v>
      </c>
      <c r="D2" s="82">
        <v>33.512328306813664</v>
      </c>
      <c r="E2" s="82" t="s">
        <v>201</v>
      </c>
    </row>
    <row r="3" spans="1:5" ht="15.75" customHeight="1" x14ac:dyDescent="0.25">
      <c r="A3" s="52" t="s">
        <v>86</v>
      </c>
      <c r="B3" s="81">
        <v>0</v>
      </c>
      <c r="C3" s="81">
        <v>0.95</v>
      </c>
      <c r="D3" s="82">
        <v>44.605343392661311</v>
      </c>
      <c r="E3" s="82" t="s">
        <v>201</v>
      </c>
    </row>
    <row r="4" spans="1:5" ht="15.75" customHeight="1" x14ac:dyDescent="0.25">
      <c r="A4" s="52" t="s">
        <v>61</v>
      </c>
      <c r="B4" s="81">
        <v>0</v>
      </c>
      <c r="C4" s="81">
        <v>0.95</v>
      </c>
      <c r="D4" s="82">
        <v>30.030766511576612</v>
      </c>
      <c r="E4" s="82" t="s">
        <v>201</v>
      </c>
    </row>
    <row r="5" spans="1:5" ht="15.75" customHeight="1" x14ac:dyDescent="0.25">
      <c r="A5" s="52" t="s">
        <v>149</v>
      </c>
      <c r="B5" s="81">
        <v>0</v>
      </c>
      <c r="C5" s="81">
        <v>0.95</v>
      </c>
      <c r="D5" s="82">
        <v>0.11340658198033567</v>
      </c>
      <c r="E5" s="82" t="s">
        <v>201</v>
      </c>
    </row>
    <row r="6" spans="1:5" ht="15.75" customHeight="1" x14ac:dyDescent="0.25">
      <c r="A6" s="52" t="s">
        <v>197</v>
      </c>
      <c r="B6" s="81">
        <v>0</v>
      </c>
      <c r="C6" s="81">
        <v>0.95</v>
      </c>
      <c r="D6" s="82">
        <v>1</v>
      </c>
      <c r="E6" s="82" t="s">
        <v>201</v>
      </c>
    </row>
    <row r="7" spans="1:5" ht="15.75" customHeight="1" x14ac:dyDescent="0.25">
      <c r="A7" s="52" t="s">
        <v>63</v>
      </c>
      <c r="B7" s="81">
        <v>0.5</v>
      </c>
      <c r="C7" s="81">
        <v>0.95</v>
      </c>
      <c r="D7" s="82">
        <v>0.3715978850511571</v>
      </c>
      <c r="E7" s="82" t="s">
        <v>201</v>
      </c>
    </row>
    <row r="8" spans="1:5" ht="15.75" customHeight="1" x14ac:dyDescent="0.25">
      <c r="A8" s="52" t="s">
        <v>64</v>
      </c>
      <c r="B8" s="81">
        <v>0.5</v>
      </c>
      <c r="C8" s="81">
        <v>0.95</v>
      </c>
      <c r="D8" s="82">
        <v>0.3715978850511571</v>
      </c>
      <c r="E8" s="82" t="s">
        <v>201</v>
      </c>
    </row>
    <row r="9" spans="1:5" ht="15.75" customHeight="1" x14ac:dyDescent="0.25">
      <c r="A9" s="52" t="s">
        <v>62</v>
      </c>
      <c r="B9" s="81">
        <v>0.5</v>
      </c>
      <c r="C9" s="81">
        <v>0.95</v>
      </c>
      <c r="D9" s="82">
        <v>0.3715978850511571</v>
      </c>
      <c r="E9" s="82" t="s">
        <v>201</v>
      </c>
    </row>
    <row r="10" spans="1:5" ht="15.75" customHeight="1" x14ac:dyDescent="0.25">
      <c r="A10" s="59" t="s">
        <v>188</v>
      </c>
      <c r="B10" s="81">
        <v>0</v>
      </c>
      <c r="C10" s="81">
        <v>0.95</v>
      </c>
      <c r="D10" s="82">
        <v>1.0491818188097615</v>
      </c>
      <c r="E10" s="82" t="s">
        <v>201</v>
      </c>
    </row>
    <row r="11" spans="1:5" ht="15.75" customHeight="1" x14ac:dyDescent="0.25">
      <c r="A11" s="59" t="s">
        <v>206</v>
      </c>
      <c r="B11" s="81">
        <v>0</v>
      </c>
      <c r="C11" s="81">
        <v>0.95</v>
      </c>
      <c r="D11" s="82">
        <v>1.0491818188097615</v>
      </c>
      <c r="E11" s="82" t="s">
        <v>201</v>
      </c>
    </row>
    <row r="12" spans="1:5" ht="15.75" customHeight="1" x14ac:dyDescent="0.25">
      <c r="A12" s="59" t="s">
        <v>189</v>
      </c>
      <c r="B12" s="81">
        <v>0</v>
      </c>
      <c r="C12" s="81">
        <v>0.95</v>
      </c>
      <c r="D12" s="82">
        <v>1.0491818188097615</v>
      </c>
      <c r="E12" s="82" t="s">
        <v>201</v>
      </c>
    </row>
    <row r="13" spans="1:5" ht="15.75" customHeight="1" x14ac:dyDescent="0.25">
      <c r="A13" s="59" t="s">
        <v>190</v>
      </c>
      <c r="B13" s="81">
        <v>0</v>
      </c>
      <c r="C13" s="81">
        <v>0.95</v>
      </c>
      <c r="D13" s="82">
        <v>1.0491818188097615</v>
      </c>
      <c r="E13" s="82" t="s">
        <v>201</v>
      </c>
    </row>
    <row r="14" spans="1:5" ht="15.75" customHeight="1" x14ac:dyDescent="0.25">
      <c r="A14" s="11" t="s">
        <v>187</v>
      </c>
      <c r="B14" s="81">
        <v>0.33399999999999996</v>
      </c>
      <c r="C14" s="81">
        <v>0.95</v>
      </c>
      <c r="D14" s="82">
        <v>14.130405261781679</v>
      </c>
      <c r="E14" s="82" t="s">
        <v>201</v>
      </c>
    </row>
    <row r="15" spans="1:5" ht="15.75" customHeight="1" x14ac:dyDescent="0.25">
      <c r="A15" s="11" t="s">
        <v>207</v>
      </c>
      <c r="B15" s="81">
        <v>0.33399999999999996</v>
      </c>
      <c r="C15" s="81">
        <v>0.95</v>
      </c>
      <c r="D15" s="82">
        <v>14.130405261781679</v>
      </c>
      <c r="E15" s="82" t="s">
        <v>201</v>
      </c>
    </row>
    <row r="16" spans="1:5" ht="15.75" customHeight="1" x14ac:dyDescent="0.25">
      <c r="A16" s="52" t="s">
        <v>57</v>
      </c>
      <c r="B16" s="81">
        <v>0.7609999999999999</v>
      </c>
      <c r="C16" s="81">
        <v>0.95</v>
      </c>
      <c r="D16" s="82">
        <v>0.13690448396621577</v>
      </c>
      <c r="E16" s="82" t="s">
        <v>201</v>
      </c>
    </row>
    <row r="17" spans="1:5" ht="15.75" customHeight="1" x14ac:dyDescent="0.25">
      <c r="A17" s="52" t="s">
        <v>47</v>
      </c>
      <c r="B17" s="81">
        <v>0.86</v>
      </c>
      <c r="C17" s="81">
        <v>0.95</v>
      </c>
      <c r="D17" s="82">
        <v>0.18668210981427777</v>
      </c>
      <c r="E17" s="82" t="s">
        <v>201</v>
      </c>
    </row>
    <row r="18" spans="1:5" ht="15.9" customHeight="1" x14ac:dyDescent="0.25">
      <c r="A18" s="52" t="s">
        <v>173</v>
      </c>
      <c r="B18" s="81">
        <v>0.25</v>
      </c>
      <c r="C18" s="81">
        <v>0.95</v>
      </c>
      <c r="D18" s="82">
        <v>0.80800494022236113</v>
      </c>
      <c r="E18" s="82" t="s">
        <v>201</v>
      </c>
    </row>
    <row r="19" spans="1:5" ht="15.75" customHeight="1" x14ac:dyDescent="0.25">
      <c r="A19" s="52" t="s">
        <v>198</v>
      </c>
      <c r="B19" s="81">
        <v>0</v>
      </c>
      <c r="C19" s="81">
        <v>0.95</v>
      </c>
      <c r="D19" s="82">
        <v>1.05</v>
      </c>
      <c r="E19" s="82" t="s">
        <v>201</v>
      </c>
    </row>
    <row r="20" spans="1:5" ht="15.75" customHeight="1" x14ac:dyDescent="0.25">
      <c r="A20" s="52" t="s">
        <v>199</v>
      </c>
      <c r="B20" s="81">
        <v>0</v>
      </c>
      <c r="C20" s="81">
        <v>0.95</v>
      </c>
      <c r="D20" s="82">
        <v>0.42</v>
      </c>
      <c r="E20" s="82" t="s">
        <v>201</v>
      </c>
    </row>
    <row r="21" spans="1:5" ht="15.75" customHeight="1" x14ac:dyDescent="0.25">
      <c r="A21" s="52" t="s">
        <v>195</v>
      </c>
      <c r="B21" s="81">
        <v>0</v>
      </c>
      <c r="C21" s="81">
        <v>0.95</v>
      </c>
      <c r="D21" s="82">
        <v>0.80110146350938183</v>
      </c>
      <c r="E21" s="82" t="s">
        <v>201</v>
      </c>
    </row>
    <row r="22" spans="1:5" ht="15.75" customHeight="1" x14ac:dyDescent="0.25">
      <c r="A22" s="52" t="s">
        <v>136</v>
      </c>
      <c r="B22" s="81">
        <v>0</v>
      </c>
      <c r="C22" s="81">
        <v>0.95</v>
      </c>
      <c r="D22" s="82">
        <v>24.054885882818429</v>
      </c>
      <c r="E22" s="82" t="s">
        <v>201</v>
      </c>
    </row>
    <row r="23" spans="1:5" ht="15.75" customHeight="1" x14ac:dyDescent="0.25">
      <c r="A23" s="52" t="s">
        <v>34</v>
      </c>
      <c r="B23" s="81">
        <v>0.82099999999999995</v>
      </c>
      <c r="C23" s="81">
        <v>0.95</v>
      </c>
      <c r="D23" s="82">
        <v>4.621869686333798</v>
      </c>
      <c r="E23" s="82" t="s">
        <v>201</v>
      </c>
    </row>
    <row r="24" spans="1:5" ht="15.75" customHeight="1" x14ac:dyDescent="0.25">
      <c r="A24" s="52" t="s">
        <v>88</v>
      </c>
      <c r="B24" s="81">
        <v>0</v>
      </c>
      <c r="C24" s="81">
        <v>0.95</v>
      </c>
      <c r="D24" s="82">
        <v>20.43896045604918</v>
      </c>
      <c r="E24" s="82" t="s">
        <v>201</v>
      </c>
    </row>
    <row r="25" spans="1:5" ht="15.75" customHeight="1" x14ac:dyDescent="0.25">
      <c r="A25" s="52" t="s">
        <v>87</v>
      </c>
      <c r="B25" s="81">
        <v>0.34799999999999998</v>
      </c>
      <c r="C25" s="81">
        <v>0.95</v>
      </c>
      <c r="D25" s="82">
        <v>20.438698294569541</v>
      </c>
      <c r="E25" s="82" t="s">
        <v>201</v>
      </c>
    </row>
    <row r="26" spans="1:5" ht="15.75" customHeight="1" x14ac:dyDescent="0.25">
      <c r="A26" s="52" t="s">
        <v>137</v>
      </c>
      <c r="B26" s="81">
        <v>0.33399999999999996</v>
      </c>
      <c r="C26" s="81">
        <v>0.95</v>
      </c>
      <c r="D26" s="82">
        <v>4.5049255724428177</v>
      </c>
      <c r="E26" s="82" t="s">
        <v>201</v>
      </c>
    </row>
    <row r="27" spans="1:5" ht="15.75" customHeight="1" x14ac:dyDescent="0.25">
      <c r="A27" s="52" t="s">
        <v>59</v>
      </c>
      <c r="B27" s="81">
        <v>0</v>
      </c>
      <c r="C27" s="81">
        <v>0.95</v>
      </c>
      <c r="D27" s="82">
        <v>3.581415982664061</v>
      </c>
      <c r="E27" s="82" t="s">
        <v>201</v>
      </c>
    </row>
    <row r="28" spans="1:5" ht="15.75" customHeight="1" x14ac:dyDescent="0.25">
      <c r="A28" s="52" t="s">
        <v>84</v>
      </c>
      <c r="B28" s="81">
        <v>0.64700000000000002</v>
      </c>
      <c r="C28" s="81">
        <v>0.95</v>
      </c>
      <c r="D28" s="82">
        <v>0.60183247967827136</v>
      </c>
      <c r="E28" s="82" t="s">
        <v>201</v>
      </c>
    </row>
    <row r="29" spans="1:5" ht="15.75" customHeight="1" x14ac:dyDescent="0.25">
      <c r="A29" s="52" t="s">
        <v>58</v>
      </c>
      <c r="B29" s="81">
        <v>0.25</v>
      </c>
      <c r="C29" s="81">
        <v>0.95</v>
      </c>
      <c r="D29" s="82">
        <v>57.691469774981172</v>
      </c>
      <c r="E29" s="82" t="s">
        <v>201</v>
      </c>
    </row>
    <row r="30" spans="1:5" ht="15.75" customHeight="1" x14ac:dyDescent="0.25">
      <c r="A30" s="52" t="s">
        <v>67</v>
      </c>
      <c r="B30" s="81">
        <v>7.2000000000000008E-2</v>
      </c>
      <c r="C30" s="81">
        <v>0.95</v>
      </c>
      <c r="D30" s="82">
        <v>186.36574247635542</v>
      </c>
      <c r="E30" s="82" t="s">
        <v>201</v>
      </c>
    </row>
    <row r="31" spans="1:5" ht="15.75" customHeight="1" x14ac:dyDescent="0.25">
      <c r="A31" s="52" t="s">
        <v>183</v>
      </c>
      <c r="B31" s="81">
        <v>0</v>
      </c>
      <c r="C31" s="81">
        <v>0.95</v>
      </c>
      <c r="D31" s="82">
        <v>186.36574247635542</v>
      </c>
      <c r="E31" s="82" t="s">
        <v>201</v>
      </c>
    </row>
    <row r="32" spans="1:5" ht="15.75" customHeight="1" x14ac:dyDescent="0.25">
      <c r="A32" s="52" t="s">
        <v>28</v>
      </c>
      <c r="B32" s="81">
        <v>0.91</v>
      </c>
      <c r="C32" s="81">
        <v>0.95</v>
      </c>
      <c r="D32" s="82">
        <v>0.33618374922887545</v>
      </c>
      <c r="E32" s="82" t="s">
        <v>201</v>
      </c>
    </row>
    <row r="33" spans="1:6" ht="15.75" customHeight="1" x14ac:dyDescent="0.25">
      <c r="A33" s="52" t="s">
        <v>83</v>
      </c>
      <c r="B33" s="81">
        <v>0.107</v>
      </c>
      <c r="C33" s="81">
        <v>0.95</v>
      </c>
      <c r="D33" s="82">
        <v>0.9</v>
      </c>
      <c r="E33" s="82" t="s">
        <v>201</v>
      </c>
    </row>
    <row r="34" spans="1:6" ht="15.75" customHeight="1" x14ac:dyDescent="0.25">
      <c r="A34" s="52" t="s">
        <v>82</v>
      </c>
      <c r="B34" s="81">
        <v>0.85499999999999998</v>
      </c>
      <c r="C34" s="81">
        <v>0.95</v>
      </c>
      <c r="D34" s="82">
        <v>0.9</v>
      </c>
      <c r="E34" s="82" t="s">
        <v>201</v>
      </c>
    </row>
    <row r="35" spans="1:6" ht="15.75" customHeight="1" x14ac:dyDescent="0.25">
      <c r="A35" s="52" t="s">
        <v>81</v>
      </c>
      <c r="B35" s="81">
        <v>0.41</v>
      </c>
      <c r="C35" s="81">
        <v>0.95</v>
      </c>
      <c r="D35" s="82">
        <v>79</v>
      </c>
      <c r="E35" s="82" t="s">
        <v>201</v>
      </c>
    </row>
    <row r="36" spans="1:6" ht="15.75" customHeight="1" x14ac:dyDescent="0.25">
      <c r="A36" s="52" t="s">
        <v>79</v>
      </c>
      <c r="B36" s="81">
        <v>0.90200000000000002</v>
      </c>
      <c r="C36" s="81">
        <v>0.95</v>
      </c>
      <c r="D36" s="82">
        <v>31</v>
      </c>
      <c r="E36" s="82" t="s">
        <v>201</v>
      </c>
    </row>
    <row r="37" spans="1:6" s="36" customFormat="1" ht="15.75" customHeight="1" x14ac:dyDescent="0.25">
      <c r="A37" s="52" t="s">
        <v>80</v>
      </c>
      <c r="B37" s="81">
        <v>7.9000000000000001E-2</v>
      </c>
      <c r="C37" s="81">
        <v>0.95</v>
      </c>
      <c r="D37" s="82">
        <v>102</v>
      </c>
      <c r="E37" s="82" t="s">
        <v>201</v>
      </c>
      <c r="F37" s="35"/>
    </row>
    <row r="38" spans="1:6" ht="15.75" customHeight="1" x14ac:dyDescent="0.25">
      <c r="A38" s="52" t="s">
        <v>85</v>
      </c>
      <c r="B38" s="81">
        <v>0.28100000000000003</v>
      </c>
      <c r="C38" s="81">
        <v>0.95</v>
      </c>
      <c r="D38" s="82">
        <v>1.876413001400721</v>
      </c>
      <c r="E38" s="82" t="s">
        <v>201</v>
      </c>
    </row>
    <row r="39" spans="1:6" ht="15.75" customHeight="1" x14ac:dyDescent="0.25">
      <c r="A39" s="52" t="s">
        <v>60</v>
      </c>
      <c r="B39" s="81">
        <v>0</v>
      </c>
      <c r="C39" s="81">
        <v>0.95</v>
      </c>
      <c r="D39" s="82">
        <v>0.3601423203656352</v>
      </c>
      <c r="E39" s="82" t="s">
        <v>201</v>
      </c>
    </row>
    <row r="40" spans="1:6" ht="15.75" customHeight="1" x14ac:dyDescent="0.25">
      <c r="F40" s="36"/>
    </row>
  </sheetData>
  <sheetProtection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0"/>
  <sheetViews>
    <sheetView workbookViewId="0">
      <selection activeCell="B4" sqref="B4"/>
    </sheetView>
  </sheetViews>
  <sheetFormatPr defaultColWidth="11.44140625" defaultRowHeight="13.2" x14ac:dyDescent="0.25"/>
  <cols>
    <col min="1" max="1" width="53" style="52" bestFit="1" customWidth="1"/>
    <col min="2" max="2" width="47.886718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3" t="s">
        <v>187</v>
      </c>
      <c r="B2" s="80" t="s">
        <v>59</v>
      </c>
      <c r="C2" s="80"/>
    </row>
    <row r="3" spans="1:3" x14ac:dyDescent="0.25">
      <c r="A3" s="83" t="s">
        <v>207</v>
      </c>
      <c r="B3" s="80" t="s">
        <v>59</v>
      </c>
      <c r="C3" s="80"/>
    </row>
    <row r="4" spans="1:3" x14ac:dyDescent="0.25">
      <c r="A4" s="84" t="s">
        <v>58</v>
      </c>
      <c r="B4" s="80" t="s">
        <v>136</v>
      </c>
      <c r="C4" s="80"/>
    </row>
    <row r="5" spans="1:3" x14ac:dyDescent="0.25">
      <c r="A5" s="84" t="s">
        <v>137</v>
      </c>
      <c r="B5" s="80" t="s">
        <v>136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C2" sqref="C2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3.3965140548475001</v>
      </c>
      <c r="C2" s="26">
        <f>'Baseline year population inputs'!C52</f>
        <v>4.7605460963899997</v>
      </c>
      <c r="D2" s="26">
        <f>'Baseline year population inputs'!C53</f>
        <v>4.7605460963899997</v>
      </c>
      <c r="E2" s="26">
        <f>'Baseline year population inputs'!C54</f>
        <v>3.08833460499</v>
      </c>
      <c r="F2" s="26">
        <f>'Baseline year population inputs'!C55</f>
        <v>3.08833460499</v>
      </c>
    </row>
    <row r="3" spans="1:6" ht="15.75" customHeight="1" x14ac:dyDescent="0.25">
      <c r="A3" s="3" t="s">
        <v>65</v>
      </c>
      <c r="B3" s="26">
        <f>frac_mam_1month * 2.6</f>
        <v>6.6174549999999999E-2</v>
      </c>
      <c r="C3" s="26">
        <f>frac_mam_1_5months * 2.6</f>
        <v>6.6174549999999999E-2</v>
      </c>
      <c r="D3" s="26">
        <f>frac_mam_6_11months * 2.6</f>
        <v>8.701834856E-2</v>
      </c>
      <c r="E3" s="26">
        <f>frac_mam_12_23months * 2.6</f>
        <v>7.5952156800000004E-2</v>
      </c>
      <c r="F3" s="26">
        <f>frac_mam_24_59months * 2.6</f>
        <v>4.3719245006666671E-2</v>
      </c>
    </row>
    <row r="4" spans="1:6" ht="15.75" customHeight="1" x14ac:dyDescent="0.25">
      <c r="A4" s="3" t="s">
        <v>66</v>
      </c>
      <c r="B4" s="26">
        <f>frac_sam_1month * 2.6</f>
        <v>3.5679773999999997E-2</v>
      </c>
      <c r="C4" s="26">
        <f>frac_sam_1_5months * 2.6</f>
        <v>3.5679773999999997E-2</v>
      </c>
      <c r="D4" s="26">
        <f>frac_sam_6_11months * 2.6</f>
        <v>1.742592644E-2</v>
      </c>
      <c r="E4" s="26">
        <f>frac_sam_12_23months * 2.6</f>
        <v>1.0598614000000001E-2</v>
      </c>
      <c r="F4" s="26">
        <f>frac_sam_24_59months * 2.6</f>
        <v>1.5400811659999998E-2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39"/>
  <sheetViews>
    <sheetView topLeftCell="A4" zoomScale="85" zoomScaleNormal="118" workbookViewId="0">
      <selection activeCell="D9" sqref="D9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87">
        <v>0</v>
      </c>
      <c r="D2" s="87">
        <f>food_insecure</f>
        <v>0.70299999999999996</v>
      </c>
      <c r="E2" s="87">
        <f>food_insecure</f>
        <v>0.70299999999999996</v>
      </c>
      <c r="F2" s="87">
        <f>food_insecure</f>
        <v>0.70299999999999996</v>
      </c>
      <c r="G2" s="87">
        <f>food_insecure</f>
        <v>0.70299999999999996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149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195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136</v>
      </c>
      <c r="C5" s="87">
        <v>0</v>
      </c>
      <c r="D5" s="87">
        <v>0</v>
      </c>
      <c r="E5" s="87">
        <f>food_insecure</f>
        <v>0.70299999999999996</v>
      </c>
      <c r="F5" s="87">
        <f>food_insecure</f>
        <v>0.70299999999999996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137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84</v>
      </c>
      <c r="C7" s="87">
        <f>diarrhoea_1mo/26</f>
        <v>0.13063515595567307</v>
      </c>
      <c r="D7" s="87">
        <f>diarrhoea_1_5mo/26</f>
        <v>0.18309792678423076</v>
      </c>
      <c r="E7" s="87">
        <f>diarrhoea_6_11mo/26</f>
        <v>0.18309792678423076</v>
      </c>
      <c r="F7" s="87">
        <f>diarrhoea_12_23mo/26</f>
        <v>0.11878210019192308</v>
      </c>
      <c r="G7" s="87">
        <f>diarrhoea_24_59mo/26</f>
        <v>0.11878210019192308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58</v>
      </c>
      <c r="C8" s="87">
        <v>0</v>
      </c>
      <c r="D8" s="87">
        <v>0</v>
      </c>
      <c r="E8" s="87">
        <f>food_insecure</f>
        <v>0.70299999999999996</v>
      </c>
      <c r="F8" s="87">
        <f>food_insecure</f>
        <v>0.70299999999999996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67</v>
      </c>
      <c r="C9" s="87">
        <v>0</v>
      </c>
      <c r="D9" s="87">
        <f>IF(ISBLANK(comm_deliv), frac_children_health_facility,1)</f>
        <v>0.77599999999999991</v>
      </c>
      <c r="E9" s="87">
        <f>IF(ISBLANK(comm_deliv), frac_children_health_facility,1)</f>
        <v>0.77599999999999991</v>
      </c>
      <c r="F9" s="87">
        <f>IF(ISBLANK(comm_deliv), frac_children_health_facility,1)</f>
        <v>0.77599999999999991</v>
      </c>
      <c r="G9" s="87">
        <f>IF(ISBLANK(comm_deliv), frac_children_health_facility,1)</f>
        <v>0.77599999999999991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5">
      <c r="B10" s="11" t="s">
        <v>28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5">
      <c r="B11" s="33" t="s">
        <v>85</v>
      </c>
      <c r="C11" s="87">
        <f>diarrhoea_1mo/26</f>
        <v>0.13063515595567307</v>
      </c>
      <c r="D11" s="87">
        <f>diarrhoea_1_5mo/26</f>
        <v>0.18309792678423076</v>
      </c>
      <c r="E11" s="87">
        <f>diarrhoea_6_11mo/26</f>
        <v>0.18309792678423076</v>
      </c>
      <c r="F11" s="87">
        <f>diarrhoea_12_23mo/26</f>
        <v>0.11878210019192308</v>
      </c>
      <c r="G11" s="87">
        <f>diarrhoea_24_59mo/26</f>
        <v>0.11878210019192308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11" t="s">
        <v>60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33"/>
    </row>
    <row r="14" spans="1:15" ht="15.75" customHeight="1" x14ac:dyDescent="0.25">
      <c r="A14" s="4" t="s">
        <v>32</v>
      </c>
      <c r="B14" s="33" t="s">
        <v>29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0.70299999999999996</v>
      </c>
      <c r="I14" s="87">
        <f>food_insecure</f>
        <v>0.70299999999999996</v>
      </c>
      <c r="J14" s="87">
        <f>food_insecure</f>
        <v>0.70299999999999996</v>
      </c>
      <c r="K14" s="87">
        <f>food_insecure</f>
        <v>0.70299999999999996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5">
      <c r="A15" s="4"/>
      <c r="B15" s="11" t="s">
        <v>86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5">
      <c r="A16" s="4"/>
      <c r="B16" s="11" t="s">
        <v>187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5">
      <c r="A17" s="4"/>
      <c r="B17" s="11" t="s">
        <v>207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0.50600000000000001</v>
      </c>
      <c r="I17" s="87">
        <f>frac_PW_health_facility</f>
        <v>0.50600000000000001</v>
      </c>
      <c r="J17" s="87">
        <f>frac_PW_health_facility</f>
        <v>0.50600000000000001</v>
      </c>
      <c r="K17" s="87">
        <f>frac_PW_health_facility</f>
        <v>0.50600000000000001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5">
      <c r="B18" s="33" t="s">
        <v>57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0.77</v>
      </c>
      <c r="I18" s="87">
        <f>frac_malaria_risk</f>
        <v>0.77</v>
      </c>
      <c r="J18" s="87">
        <f>frac_malaria_risk</f>
        <v>0.77</v>
      </c>
      <c r="K18" s="87">
        <f>frac_malaria_risk</f>
        <v>0.77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5">
      <c r="B19" s="11" t="s">
        <v>88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33" t="s">
        <v>59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/>
    </row>
    <row r="23" spans="1:15" ht="15.75" customHeight="1" x14ac:dyDescent="0.25">
      <c r="A23" s="58" t="s">
        <v>37</v>
      </c>
      <c r="B23" s="59" t="s">
        <v>197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0.254</v>
      </c>
      <c r="M23" s="87">
        <f>famplan_unmet_need</f>
        <v>0.254</v>
      </c>
      <c r="N23" s="87">
        <f>famplan_unmet_need</f>
        <v>0.254</v>
      </c>
      <c r="O23" s="87">
        <f>famplan_unmet_need</f>
        <v>0.254</v>
      </c>
    </row>
    <row r="24" spans="1:15" ht="15.75" customHeight="1" x14ac:dyDescent="0.25">
      <c r="B24" s="59" t="s">
        <v>188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0.44125296585788709</v>
      </c>
      <c r="M24" s="87">
        <f>(1-food_insecure)*(0.49)+food_insecure*(0.7)</f>
        <v>0.63762999999999992</v>
      </c>
      <c r="N24" s="87">
        <f>(1-food_insecure)*(0.49)+food_insecure*(0.7)</f>
        <v>0.63762999999999992</v>
      </c>
      <c r="O24" s="87">
        <f>(1-food_insecure)*(0.49)+food_insecure*(0.7)</f>
        <v>0.63762999999999992</v>
      </c>
    </row>
    <row r="25" spans="1:15" ht="15.75" customHeight="1" x14ac:dyDescent="0.25">
      <c r="B25" s="59" t="s">
        <v>206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0.18910841393909447</v>
      </c>
      <c r="M25" s="87">
        <f>(1-food_insecure)*(0.21)+food_insecure*(0.3)</f>
        <v>0.27327000000000001</v>
      </c>
      <c r="N25" s="87">
        <f>(1-food_insecure)*(0.21)+food_insecure*(0.3)</f>
        <v>0.27327000000000001</v>
      </c>
      <c r="O25" s="87">
        <f>(1-food_insecure)*(0.21)+food_insecure*(0.3)</f>
        <v>0.27327000000000001</v>
      </c>
    </row>
    <row r="26" spans="1:15" ht="15.75" customHeight="1" x14ac:dyDescent="0.25">
      <c r="B26" s="59" t="s">
        <v>189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6.1659017389297473E-2</v>
      </c>
      <c r="M26" s="87">
        <f>(1-food_insecure)*(0.3)</f>
        <v>8.9100000000000013E-2</v>
      </c>
      <c r="N26" s="87">
        <f>(1-food_insecure)*(0.3)</f>
        <v>8.9100000000000013E-2</v>
      </c>
      <c r="O26" s="87">
        <f>(1-food_insecure)*(0.3)</f>
        <v>8.9100000000000013E-2</v>
      </c>
    </row>
    <row r="27" spans="1:15" ht="15.75" customHeight="1" x14ac:dyDescent="0.25">
      <c r="B27" s="59" t="s">
        <v>190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0.307979602813721</v>
      </c>
      <c r="M27" s="87">
        <v>0</v>
      </c>
      <c r="N27" s="87">
        <v>0</v>
      </c>
      <c r="O27" s="87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5">
      <c r="A29" s="4" t="s">
        <v>35</v>
      </c>
      <c r="B29" s="11" t="s">
        <v>63</v>
      </c>
      <c r="C29" s="87">
        <v>0</v>
      </c>
      <c r="D29" s="87">
        <v>0</v>
      </c>
      <c r="E29" s="87">
        <f t="shared" ref="E29:O29" si="0">frac_maize</f>
        <v>0.99</v>
      </c>
      <c r="F29" s="87">
        <f t="shared" si="0"/>
        <v>0.99</v>
      </c>
      <c r="G29" s="87">
        <f t="shared" si="0"/>
        <v>0.99</v>
      </c>
      <c r="H29" s="87">
        <f t="shared" si="0"/>
        <v>0.99</v>
      </c>
      <c r="I29" s="87">
        <f t="shared" si="0"/>
        <v>0.99</v>
      </c>
      <c r="J29" s="87">
        <f t="shared" si="0"/>
        <v>0.99</v>
      </c>
      <c r="K29" s="87">
        <f t="shared" si="0"/>
        <v>0.99</v>
      </c>
      <c r="L29" s="87">
        <f t="shared" si="0"/>
        <v>0.99</v>
      </c>
      <c r="M29" s="87">
        <f t="shared" si="0"/>
        <v>0.99</v>
      </c>
      <c r="N29" s="87">
        <f t="shared" si="0"/>
        <v>0.99</v>
      </c>
      <c r="O29" s="87">
        <f t="shared" si="0"/>
        <v>0.99</v>
      </c>
    </row>
    <row r="30" spans="1:15" ht="15.75" customHeight="1" x14ac:dyDescent="0.25">
      <c r="B30" s="11" t="s">
        <v>64</v>
      </c>
      <c r="C30" s="87">
        <v>0</v>
      </c>
      <c r="D30" s="87">
        <v>0</v>
      </c>
      <c r="E30" s="87">
        <f t="shared" ref="E30:O30" si="1">frac_rice</f>
        <v>5.0000000000000001E-3</v>
      </c>
      <c r="F30" s="87">
        <f t="shared" si="1"/>
        <v>5.0000000000000001E-3</v>
      </c>
      <c r="G30" s="87">
        <f t="shared" si="1"/>
        <v>5.0000000000000001E-3</v>
      </c>
      <c r="H30" s="87">
        <f t="shared" si="1"/>
        <v>5.0000000000000001E-3</v>
      </c>
      <c r="I30" s="87">
        <f t="shared" si="1"/>
        <v>5.0000000000000001E-3</v>
      </c>
      <c r="J30" s="87">
        <f t="shared" si="1"/>
        <v>5.0000000000000001E-3</v>
      </c>
      <c r="K30" s="87">
        <f t="shared" si="1"/>
        <v>5.0000000000000001E-3</v>
      </c>
      <c r="L30" s="87">
        <f t="shared" si="1"/>
        <v>5.0000000000000001E-3</v>
      </c>
      <c r="M30" s="87">
        <f t="shared" si="1"/>
        <v>5.0000000000000001E-3</v>
      </c>
      <c r="N30" s="87">
        <f t="shared" si="1"/>
        <v>5.0000000000000001E-3</v>
      </c>
      <c r="O30" s="87">
        <f t="shared" si="1"/>
        <v>5.0000000000000001E-3</v>
      </c>
    </row>
    <row r="31" spans="1:15" ht="15.75" customHeight="1" x14ac:dyDescent="0.25">
      <c r="B31" s="11" t="s">
        <v>62</v>
      </c>
      <c r="C31" s="87">
        <v>0</v>
      </c>
      <c r="D31" s="87">
        <v>0</v>
      </c>
      <c r="E31" s="87">
        <f>frac_wheat</f>
        <v>5.0000000000000001E-3</v>
      </c>
      <c r="F31" s="87">
        <f t="shared" ref="F31:O31" si="2">frac_wheat</f>
        <v>5.0000000000000001E-3</v>
      </c>
      <c r="G31" s="87">
        <f t="shared" si="2"/>
        <v>5.0000000000000001E-3</v>
      </c>
      <c r="H31" s="87">
        <f t="shared" si="2"/>
        <v>5.0000000000000001E-3</v>
      </c>
      <c r="I31" s="87">
        <f t="shared" si="2"/>
        <v>5.0000000000000001E-3</v>
      </c>
      <c r="J31" s="87">
        <f t="shared" si="2"/>
        <v>5.0000000000000001E-3</v>
      </c>
      <c r="K31" s="87">
        <f t="shared" si="2"/>
        <v>5.0000000000000001E-3</v>
      </c>
      <c r="L31" s="87">
        <f t="shared" si="2"/>
        <v>5.0000000000000001E-3</v>
      </c>
      <c r="M31" s="87">
        <f t="shared" si="2"/>
        <v>5.0000000000000001E-3</v>
      </c>
      <c r="N31" s="87">
        <f t="shared" si="2"/>
        <v>5.0000000000000001E-3</v>
      </c>
      <c r="O31" s="87">
        <f t="shared" si="2"/>
        <v>5.0000000000000001E-3</v>
      </c>
    </row>
    <row r="32" spans="1:15" ht="15.75" customHeight="1" x14ac:dyDescent="0.25">
      <c r="B32" s="11" t="s">
        <v>47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5">
      <c r="B33" s="11" t="s">
        <v>34</v>
      </c>
      <c r="C33" s="87">
        <f t="shared" ref="C33:O33" si="3">frac_malaria_risk</f>
        <v>0.77</v>
      </c>
      <c r="D33" s="87">
        <f t="shared" si="3"/>
        <v>0.77</v>
      </c>
      <c r="E33" s="87">
        <f t="shared" si="3"/>
        <v>0.77</v>
      </c>
      <c r="F33" s="87">
        <f t="shared" si="3"/>
        <v>0.77</v>
      </c>
      <c r="G33" s="87">
        <f t="shared" si="3"/>
        <v>0.77</v>
      </c>
      <c r="H33" s="87">
        <f t="shared" si="3"/>
        <v>0.77</v>
      </c>
      <c r="I33" s="87">
        <f t="shared" si="3"/>
        <v>0.77</v>
      </c>
      <c r="J33" s="87">
        <f t="shared" si="3"/>
        <v>0.77</v>
      </c>
      <c r="K33" s="87">
        <f t="shared" si="3"/>
        <v>0.77</v>
      </c>
      <c r="L33" s="87">
        <f t="shared" si="3"/>
        <v>0.77</v>
      </c>
      <c r="M33" s="87">
        <f t="shared" si="3"/>
        <v>0.77</v>
      </c>
      <c r="N33" s="87">
        <f t="shared" si="3"/>
        <v>0.77</v>
      </c>
      <c r="O33" s="87">
        <f t="shared" si="3"/>
        <v>0.77</v>
      </c>
    </row>
    <row r="34" spans="1:15" ht="15.75" customHeight="1" x14ac:dyDescent="0.25">
      <c r="B34" s="33" t="s">
        <v>83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A35" s="5"/>
      <c r="B35" s="33" t="s">
        <v>82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5">
      <c r="B36" s="33" t="s">
        <v>81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79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80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E11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P41"/>
  <sheetViews>
    <sheetView topLeftCell="B9" workbookViewId="0">
      <selection activeCell="F8" sqref="F8"/>
    </sheetView>
  </sheetViews>
  <sheetFormatPr defaultColWidth="16.109375" defaultRowHeight="15.75" customHeight="1" x14ac:dyDescent="0.3"/>
  <cols>
    <col min="1" max="1" width="22.21875" style="55" bestFit="1" customWidth="1"/>
    <col min="2" max="2" width="58.88671875" style="55" bestFit="1" customWidth="1"/>
    <col min="3" max="3" width="9.44140625" style="55" bestFit="1" customWidth="1"/>
    <col min="4" max="4" width="11.109375" style="55" bestFit="1" customWidth="1"/>
    <col min="5" max="5" width="12" style="55" bestFit="1" customWidth="1"/>
    <col min="6" max="7" width="13.109375" style="55" bestFit="1" customWidth="1"/>
    <col min="8" max="11" width="15.33203125" style="55" bestFit="1" customWidth="1"/>
    <col min="12" max="15" width="16.88671875" style="55" bestFit="1" customWidth="1"/>
    <col min="16" max="16384" width="16.109375" style="55"/>
  </cols>
  <sheetData>
    <row r="1" spans="1:15" ht="15.75" customHeight="1" x14ac:dyDescent="0.3">
      <c r="A1" s="56" t="s">
        <v>33</v>
      </c>
      <c r="B1" s="89" t="s">
        <v>69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49</v>
      </c>
      <c r="M1" s="56" t="s">
        <v>50</v>
      </c>
      <c r="N1" s="56" t="s">
        <v>51</v>
      </c>
      <c r="O1" s="56" t="s">
        <v>52</v>
      </c>
    </row>
    <row r="2" spans="1:15" ht="15.75" customHeight="1" x14ac:dyDescent="0.3">
      <c r="A2" s="56" t="s">
        <v>31</v>
      </c>
      <c r="B2" s="52" t="s">
        <v>61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">
      <c r="B3" s="52" t="s">
        <v>149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">
      <c r="B4" s="52" t="s">
        <v>173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">
      <c r="B5" s="52" t="s">
        <v>198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">
      <c r="B6" s="52" t="s">
        <v>199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">
      <c r="B7" s="52" t="s">
        <v>195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">
      <c r="B8" s="52" t="s">
        <v>136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">
      <c r="B9" s="52" t="s">
        <v>137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">
      <c r="B10" s="52" t="s">
        <v>84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">
      <c r="B11" s="52" t="s">
        <v>58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">
      <c r="B12" s="52" t="s">
        <v>67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">
      <c r="B13" s="52" t="s">
        <v>28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">
      <c r="B14" s="52" t="s">
        <v>85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">
      <c r="B15" s="52" t="s">
        <v>60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3">
      <c r="A17" s="56" t="s">
        <v>32</v>
      </c>
      <c r="B17" s="52" t="s">
        <v>29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3">
      <c r="A18" s="56"/>
      <c r="B18" s="52" t="s">
        <v>86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">
      <c r="B19" s="90" t="s">
        <v>187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">
      <c r="B20" s="90" t="s">
        <v>207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">
      <c r="B21" s="91" t="s">
        <v>57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">
      <c r="B22" s="52" t="s">
        <v>88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">
      <c r="B23" s="52" t="s">
        <v>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">
      <c r="B24" s="52" t="s">
        <v>59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6.05" customHeight="1" x14ac:dyDescent="0.3">
      <c r="A26" s="56" t="s">
        <v>37</v>
      </c>
      <c r="B26" s="52" t="s">
        <v>197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3">
      <c r="B27" s="59" t="s">
        <v>188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3">
      <c r="A28" s="56"/>
      <c r="B28" s="59" t="s">
        <v>206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">
      <c r="B29" s="59" t="s">
        <v>189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">
      <c r="B30" s="59" t="s">
        <v>190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3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3">
      <c r="A32" s="56" t="s">
        <v>35</v>
      </c>
      <c r="B32" s="52" t="s">
        <v>63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3">
      <c r="B33" s="52" t="s">
        <v>64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">
      <c r="B34" s="52" t="s">
        <v>62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">
      <c r="B35" s="52" t="s">
        <v>47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">
      <c r="B36" s="52" t="s">
        <v>34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">
      <c r="A37" s="93"/>
      <c r="B37" s="52" t="s">
        <v>83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3">
      <c r="B38" s="52" t="s">
        <v>82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">
      <c r="B39" s="52" t="s">
        <v>81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">
      <c r="B40" s="52" t="s">
        <v>79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3">
      <c r="B41" s="52" t="s">
        <v>80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52" t="s">
        <v>29</v>
      </c>
      <c r="B2" s="133"/>
      <c r="C2" s="133"/>
      <c r="D2" s="133"/>
      <c r="E2" s="133"/>
      <c r="F2" s="133"/>
      <c r="G2" s="133"/>
      <c r="H2" s="133"/>
      <c r="I2" s="133" t="s">
        <v>194</v>
      </c>
      <c r="J2" s="133"/>
      <c r="K2" s="133"/>
    </row>
    <row r="3" spans="1:11" x14ac:dyDescent="0.25">
      <c r="A3" s="52" t="s">
        <v>86</v>
      </c>
      <c r="B3" s="133"/>
      <c r="C3" s="133"/>
      <c r="D3" s="133"/>
      <c r="E3" s="133"/>
      <c r="F3" s="133"/>
      <c r="G3" s="133"/>
      <c r="H3" s="133" t="s">
        <v>194</v>
      </c>
      <c r="I3" s="133"/>
      <c r="J3" s="133"/>
      <c r="K3" s="133"/>
    </row>
    <row r="4" spans="1:11" x14ac:dyDescent="0.25">
      <c r="A4" s="52" t="s">
        <v>61</v>
      </c>
      <c r="B4" s="133"/>
      <c r="C4" s="133"/>
      <c r="D4" s="133" t="s">
        <v>194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149</v>
      </c>
      <c r="B5" s="133"/>
      <c r="C5" s="133" t="s">
        <v>194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197</v>
      </c>
      <c r="B6" s="133"/>
      <c r="C6" s="133"/>
      <c r="D6" s="133"/>
      <c r="E6" s="133"/>
      <c r="F6" s="133"/>
      <c r="G6" s="133"/>
      <c r="H6" s="133"/>
      <c r="I6" s="133"/>
      <c r="J6" s="133" t="s">
        <v>194</v>
      </c>
      <c r="K6" s="133" t="s">
        <v>194</v>
      </c>
    </row>
    <row r="7" spans="1:11" x14ac:dyDescent="0.25">
      <c r="A7" s="52" t="s">
        <v>63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/>
      <c r="J7" s="133"/>
      <c r="K7" s="133"/>
    </row>
    <row r="8" spans="1:11" x14ac:dyDescent="0.25">
      <c r="A8" s="52" t="s">
        <v>64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/>
      <c r="J8" s="133"/>
      <c r="K8" s="133"/>
    </row>
    <row r="9" spans="1:11" x14ac:dyDescent="0.25">
      <c r="A9" s="52" t="s">
        <v>62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/>
      <c r="J9" s="133"/>
      <c r="K9" s="133"/>
    </row>
    <row r="10" spans="1:11" x14ac:dyDescent="0.25">
      <c r="A10" s="59" t="s">
        <v>188</v>
      </c>
      <c r="B10" s="133"/>
      <c r="C10" s="133" t="s">
        <v>194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206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189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190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187</v>
      </c>
      <c r="B14" s="133"/>
      <c r="C14" s="133" t="s">
        <v>194</v>
      </c>
      <c r="D14" s="133"/>
      <c r="E14" s="133"/>
      <c r="F14" s="133"/>
      <c r="G14" s="133"/>
      <c r="H14" s="133"/>
      <c r="I14" s="133" t="s">
        <v>194</v>
      </c>
      <c r="J14" s="133"/>
      <c r="K14" s="133"/>
    </row>
    <row r="15" spans="1:11" x14ac:dyDescent="0.25">
      <c r="A15" s="90" t="s">
        <v>207</v>
      </c>
      <c r="B15" s="133"/>
      <c r="C15" s="133" t="s">
        <v>194</v>
      </c>
      <c r="D15" s="133"/>
      <c r="E15" s="133"/>
      <c r="F15" s="133"/>
      <c r="G15" s="133"/>
      <c r="H15" s="133"/>
      <c r="I15" s="133" t="s">
        <v>194</v>
      </c>
      <c r="J15" s="133"/>
      <c r="K15" s="133"/>
    </row>
    <row r="16" spans="1:11" x14ac:dyDescent="0.25">
      <c r="A16" s="52" t="s">
        <v>57</v>
      </c>
      <c r="B16" s="133"/>
      <c r="C16" s="133" t="s">
        <v>194</v>
      </c>
      <c r="D16" s="133"/>
      <c r="E16" s="133"/>
      <c r="F16" s="133"/>
      <c r="G16" s="133"/>
      <c r="H16" s="133" t="s">
        <v>194</v>
      </c>
      <c r="I16" s="133" t="s">
        <v>194</v>
      </c>
      <c r="J16" s="133"/>
      <c r="K16" s="133"/>
    </row>
    <row r="17" spans="1:11" x14ac:dyDescent="0.25">
      <c r="A17" s="52" t="s">
        <v>47</v>
      </c>
      <c r="B17" s="133"/>
      <c r="C17" s="133" t="s">
        <v>194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173</v>
      </c>
      <c r="B18" s="133" t="s">
        <v>194</v>
      </c>
      <c r="C18" s="133"/>
      <c r="D18" s="133"/>
      <c r="E18" s="133"/>
      <c r="F18" s="133" t="s">
        <v>194</v>
      </c>
      <c r="G18" s="133"/>
      <c r="H18" s="133"/>
      <c r="I18" s="133"/>
      <c r="J18" s="133"/>
      <c r="K18" s="133"/>
    </row>
    <row r="19" spans="1:11" x14ac:dyDescent="0.25">
      <c r="A19" s="52" t="s">
        <v>198</v>
      </c>
      <c r="B19" s="133" t="s">
        <v>194</v>
      </c>
      <c r="C19" s="133"/>
      <c r="D19" s="133"/>
      <c r="E19" s="133"/>
      <c r="F19" s="133" t="s">
        <v>194</v>
      </c>
      <c r="G19" s="133"/>
      <c r="H19" s="133"/>
      <c r="I19" s="133"/>
      <c r="J19" s="133"/>
      <c r="K19" s="133"/>
    </row>
    <row r="20" spans="1:11" x14ac:dyDescent="0.25">
      <c r="A20" s="52" t="s">
        <v>199</v>
      </c>
      <c r="B20" s="133" t="s">
        <v>194</v>
      </c>
      <c r="C20" s="133"/>
      <c r="D20" s="133"/>
      <c r="E20" s="133"/>
      <c r="F20" s="133" t="s">
        <v>194</v>
      </c>
      <c r="G20" s="133"/>
      <c r="H20" s="133"/>
      <c r="I20" s="133"/>
      <c r="J20" s="133"/>
      <c r="K20" s="133"/>
    </row>
    <row r="21" spans="1:11" x14ac:dyDescent="0.25">
      <c r="A21" s="52" t="s">
        <v>195</v>
      </c>
      <c r="B21" s="133"/>
      <c r="C21" s="133"/>
      <c r="D21" s="133"/>
      <c r="E21" s="133"/>
      <c r="F21" s="133"/>
      <c r="G21" s="133"/>
      <c r="H21" s="133" t="s">
        <v>194</v>
      </c>
      <c r="I21" s="133" t="s">
        <v>194</v>
      </c>
      <c r="J21" s="133"/>
      <c r="K21" s="133"/>
    </row>
    <row r="22" spans="1:11" x14ac:dyDescent="0.25">
      <c r="A22" s="52" t="s">
        <v>136</v>
      </c>
      <c r="B22" s="133" t="s">
        <v>194</v>
      </c>
      <c r="C22" s="133" t="s">
        <v>194</v>
      </c>
      <c r="D22" s="133" t="s">
        <v>194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34</v>
      </c>
      <c r="B23" s="133"/>
      <c r="C23" s="133" t="s">
        <v>194</v>
      </c>
      <c r="D23" s="133"/>
      <c r="E23" s="133"/>
      <c r="F23" s="133"/>
      <c r="G23" s="133"/>
      <c r="H23" s="133"/>
      <c r="I23" s="133" t="s">
        <v>194</v>
      </c>
      <c r="J23" s="133"/>
      <c r="K23" s="133"/>
    </row>
    <row r="24" spans="1:11" x14ac:dyDescent="0.25">
      <c r="A24" s="52" t="s">
        <v>88</v>
      </c>
      <c r="B24" s="133"/>
      <c r="C24" s="133"/>
      <c r="D24" s="133"/>
      <c r="E24" s="133"/>
      <c r="F24" s="133"/>
      <c r="G24" s="133"/>
      <c r="H24" s="133" t="s">
        <v>194</v>
      </c>
      <c r="I24" s="133"/>
      <c r="J24" s="133"/>
      <c r="K24" s="133"/>
    </row>
    <row r="25" spans="1:11" x14ac:dyDescent="0.25">
      <c r="A25" s="52" t="s">
        <v>87</v>
      </c>
      <c r="B25" s="133"/>
      <c r="C25" s="133"/>
      <c r="D25" s="133"/>
      <c r="E25" s="133"/>
      <c r="F25" s="133"/>
      <c r="G25" s="133"/>
      <c r="H25" s="133" t="s">
        <v>194</v>
      </c>
      <c r="I25" s="133"/>
      <c r="J25" s="133"/>
      <c r="K25" s="133"/>
    </row>
    <row r="26" spans="1:11" x14ac:dyDescent="0.25">
      <c r="A26" s="52" t="s">
        <v>137</v>
      </c>
      <c r="B26" s="133"/>
      <c r="C26" s="133" t="s">
        <v>194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59</v>
      </c>
      <c r="B27" s="133"/>
      <c r="C27" s="133" t="s">
        <v>194</v>
      </c>
      <c r="D27" s="133"/>
      <c r="E27" s="133"/>
      <c r="F27" s="133"/>
      <c r="G27" s="133"/>
      <c r="H27" s="133"/>
      <c r="I27" s="133" t="s">
        <v>194</v>
      </c>
      <c r="J27" s="133"/>
      <c r="K27" s="133"/>
    </row>
    <row r="28" spans="1:11" x14ac:dyDescent="0.25">
      <c r="A28" s="52" t="s">
        <v>84</v>
      </c>
      <c r="B28" s="133"/>
      <c r="C28" s="133"/>
      <c r="D28" s="133"/>
      <c r="E28" s="133"/>
      <c r="F28" s="133"/>
      <c r="G28" s="133"/>
      <c r="H28" s="133" t="s">
        <v>194</v>
      </c>
      <c r="I28" s="133"/>
      <c r="J28" s="133"/>
      <c r="K28" s="133"/>
    </row>
    <row r="29" spans="1:11" x14ac:dyDescent="0.25">
      <c r="A29" s="52" t="s">
        <v>58</v>
      </c>
      <c r="B29" s="133" t="s">
        <v>194</v>
      </c>
      <c r="C29" s="133"/>
      <c r="D29" s="133" t="s">
        <v>194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67</v>
      </c>
      <c r="B30" s="133"/>
      <c r="C30" s="133"/>
      <c r="D30" s="133"/>
      <c r="E30" s="133" t="s">
        <v>194</v>
      </c>
      <c r="F30" s="133"/>
      <c r="G30" s="133"/>
      <c r="H30" s="133"/>
      <c r="I30" s="133"/>
      <c r="J30" s="133"/>
      <c r="K30" s="133"/>
    </row>
    <row r="31" spans="1:11" x14ac:dyDescent="0.25">
      <c r="A31" s="52" t="s">
        <v>28</v>
      </c>
      <c r="B31" s="133"/>
      <c r="C31" s="133"/>
      <c r="D31" s="133"/>
      <c r="E31" s="133"/>
      <c r="F31" s="133"/>
      <c r="G31" s="133" t="s">
        <v>194</v>
      </c>
      <c r="H31" s="133" t="s">
        <v>194</v>
      </c>
      <c r="I31" s="133"/>
      <c r="J31" s="133"/>
      <c r="K31" s="133"/>
    </row>
    <row r="32" spans="1:11" x14ac:dyDescent="0.25">
      <c r="A32" s="52" t="s">
        <v>83</v>
      </c>
      <c r="B32" s="133"/>
      <c r="C32" s="133"/>
      <c r="D32" s="133"/>
      <c r="E32" s="133"/>
      <c r="F32" s="133"/>
      <c r="G32" s="133" t="s">
        <v>194</v>
      </c>
      <c r="H32" s="133" t="s">
        <v>194</v>
      </c>
      <c r="I32" s="133"/>
      <c r="J32" s="133"/>
      <c r="K32" s="133"/>
    </row>
    <row r="33" spans="1:11" x14ac:dyDescent="0.25">
      <c r="A33" s="52" t="s">
        <v>82</v>
      </c>
      <c r="B33" s="133"/>
      <c r="C33" s="133"/>
      <c r="D33" s="133"/>
      <c r="E33" s="133"/>
      <c r="F33" s="133"/>
      <c r="G33" s="133" t="s">
        <v>194</v>
      </c>
      <c r="H33" s="133" t="s">
        <v>194</v>
      </c>
      <c r="I33" s="133"/>
      <c r="J33" s="133"/>
      <c r="K33" s="133"/>
    </row>
    <row r="34" spans="1:11" x14ac:dyDescent="0.25">
      <c r="A34" s="52" t="s">
        <v>81</v>
      </c>
      <c r="B34" s="133"/>
      <c r="C34" s="133"/>
      <c r="D34" s="133"/>
      <c r="E34" s="133"/>
      <c r="F34" s="133"/>
      <c r="G34" s="133" t="s">
        <v>194</v>
      </c>
      <c r="H34" s="133" t="s">
        <v>194</v>
      </c>
      <c r="I34" s="133"/>
      <c r="J34" s="133"/>
      <c r="K34" s="133"/>
    </row>
    <row r="35" spans="1:11" x14ac:dyDescent="0.25">
      <c r="A35" s="52" t="s">
        <v>79</v>
      </c>
      <c r="B35" s="133"/>
      <c r="C35" s="133"/>
      <c r="D35" s="133"/>
      <c r="E35" s="133"/>
      <c r="F35" s="133"/>
      <c r="G35" s="133" t="s">
        <v>194</v>
      </c>
      <c r="H35" s="133" t="s">
        <v>194</v>
      </c>
      <c r="I35" s="133"/>
      <c r="J35" s="133"/>
      <c r="K35" s="133"/>
    </row>
    <row r="36" spans="1:11" x14ac:dyDescent="0.25">
      <c r="A36" s="52" t="s">
        <v>80</v>
      </c>
      <c r="B36" s="133"/>
      <c r="C36" s="133"/>
      <c r="D36" s="133"/>
      <c r="E36" s="133"/>
      <c r="F36" s="133"/>
      <c r="G36" s="133" t="s">
        <v>194</v>
      </c>
      <c r="H36" s="133" t="s">
        <v>194</v>
      </c>
      <c r="I36" s="133"/>
      <c r="J36" s="133"/>
      <c r="K36" s="133"/>
    </row>
    <row r="37" spans="1:11" x14ac:dyDescent="0.25">
      <c r="A37" s="52" t="s">
        <v>85</v>
      </c>
      <c r="B37" s="133"/>
      <c r="C37" s="133"/>
      <c r="D37" s="133"/>
      <c r="E37" s="133"/>
      <c r="F37" s="133"/>
      <c r="G37" s="133"/>
      <c r="H37" s="133" t="s">
        <v>194</v>
      </c>
      <c r="I37" s="133"/>
      <c r="J37" s="133"/>
      <c r="K37" s="133"/>
    </row>
    <row r="38" spans="1:11" x14ac:dyDescent="0.25">
      <c r="A38" s="52" t="s">
        <v>60</v>
      </c>
      <c r="B38" s="133" t="s">
        <v>194</v>
      </c>
      <c r="C38" s="133"/>
      <c r="D38" s="133"/>
      <c r="E38" s="133"/>
      <c r="F38" s="133"/>
      <c r="G38" s="133" t="s">
        <v>194</v>
      </c>
      <c r="H38" s="133" t="s">
        <v>194</v>
      </c>
      <c r="I38" s="133"/>
      <c r="J38" s="133"/>
      <c r="K38" s="133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216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35" t="s">
        <v>1</v>
      </c>
      <c r="B2" s="133" t="s">
        <v>194</v>
      </c>
      <c r="C2" s="133" t="s">
        <v>194</v>
      </c>
      <c r="D2" s="133" t="s">
        <v>194</v>
      </c>
      <c r="E2" s="133" t="s">
        <v>194</v>
      </c>
      <c r="F2" s="133" t="s">
        <v>194</v>
      </c>
      <c r="G2" s="133" t="s">
        <v>194</v>
      </c>
      <c r="H2" s="133" t="s">
        <v>194</v>
      </c>
      <c r="I2" s="133"/>
      <c r="J2" s="133"/>
      <c r="K2" s="133"/>
    </row>
    <row r="3" spans="1:11" x14ac:dyDescent="0.25">
      <c r="A3" s="35" t="s">
        <v>2</v>
      </c>
      <c r="B3" s="133" t="s">
        <v>194</v>
      </c>
      <c r="C3" s="133" t="s">
        <v>194</v>
      </c>
      <c r="D3" s="133" t="s">
        <v>194</v>
      </c>
      <c r="E3" s="133" t="s">
        <v>194</v>
      </c>
      <c r="F3" s="133" t="s">
        <v>194</v>
      </c>
      <c r="G3" s="133" t="s">
        <v>194</v>
      </c>
      <c r="H3" s="133" t="s">
        <v>194</v>
      </c>
      <c r="I3" s="133"/>
      <c r="J3" s="133"/>
      <c r="K3" s="133"/>
    </row>
    <row r="4" spans="1:11" x14ac:dyDescent="0.25">
      <c r="A4" s="35" t="s">
        <v>3</v>
      </c>
      <c r="B4" s="133" t="s">
        <v>194</v>
      </c>
      <c r="C4" s="133" t="s">
        <v>194</v>
      </c>
      <c r="D4" s="133" t="s">
        <v>194</v>
      </c>
      <c r="E4" s="133" t="s">
        <v>194</v>
      </c>
      <c r="F4" s="133" t="s">
        <v>194</v>
      </c>
      <c r="G4" s="133" t="s">
        <v>194</v>
      </c>
      <c r="H4" s="133" t="s">
        <v>194</v>
      </c>
      <c r="I4" s="133"/>
      <c r="J4" s="133"/>
      <c r="K4" s="133"/>
    </row>
    <row r="5" spans="1:11" x14ac:dyDescent="0.25">
      <c r="A5" s="35" t="s">
        <v>4</v>
      </c>
      <c r="B5" s="133" t="s">
        <v>194</v>
      </c>
      <c r="C5" s="133" t="s">
        <v>194</v>
      </c>
      <c r="D5" s="133" t="s">
        <v>194</v>
      </c>
      <c r="E5" s="133" t="s">
        <v>194</v>
      </c>
      <c r="F5" s="133" t="s">
        <v>194</v>
      </c>
      <c r="G5" s="133" t="s">
        <v>194</v>
      </c>
      <c r="H5" s="133" t="s">
        <v>194</v>
      </c>
      <c r="I5" s="133"/>
      <c r="J5" s="133"/>
      <c r="K5" s="133"/>
    </row>
    <row r="6" spans="1:11" x14ac:dyDescent="0.25">
      <c r="A6" s="35" t="s">
        <v>5</v>
      </c>
      <c r="B6" s="133" t="s">
        <v>194</v>
      </c>
      <c r="C6" s="133" t="s">
        <v>194</v>
      </c>
      <c r="D6" s="133" t="s">
        <v>194</v>
      </c>
      <c r="E6" s="133" t="s">
        <v>194</v>
      </c>
      <c r="F6" s="133" t="s">
        <v>194</v>
      </c>
      <c r="G6" s="133" t="s">
        <v>194</v>
      </c>
      <c r="H6" s="133" t="s">
        <v>194</v>
      </c>
      <c r="I6" s="133"/>
      <c r="J6" s="133"/>
      <c r="K6" s="133"/>
    </row>
    <row r="7" spans="1:11" x14ac:dyDescent="0.25">
      <c r="A7" s="35" t="s">
        <v>53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 t="s">
        <v>194</v>
      </c>
      <c r="J7" s="133"/>
      <c r="K7" s="133"/>
    </row>
    <row r="8" spans="1:11" x14ac:dyDescent="0.25">
      <c r="A8" s="35" t="s">
        <v>54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 t="s">
        <v>194</v>
      </c>
      <c r="J8" s="133"/>
      <c r="K8" s="133"/>
    </row>
    <row r="9" spans="1:11" x14ac:dyDescent="0.25">
      <c r="A9" s="35" t="s">
        <v>55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 t="s">
        <v>194</v>
      </c>
      <c r="J9" s="133"/>
      <c r="K9" s="133"/>
    </row>
    <row r="10" spans="1:11" x14ac:dyDescent="0.25">
      <c r="A10" s="35" t="s">
        <v>56</v>
      </c>
      <c r="B10" s="133"/>
      <c r="C10" s="133" t="s">
        <v>194</v>
      </c>
      <c r="D10" s="133"/>
      <c r="E10" s="133"/>
      <c r="F10" s="133"/>
      <c r="G10" s="133"/>
      <c r="H10" s="133" t="s">
        <v>194</v>
      </c>
      <c r="I10" s="133" t="s">
        <v>194</v>
      </c>
      <c r="J10" s="133"/>
      <c r="K10" s="133"/>
    </row>
    <row r="11" spans="1:11" x14ac:dyDescent="0.25">
      <c r="A11" s="35" t="s">
        <v>49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 t="s">
        <v>194</v>
      </c>
      <c r="K11" s="133" t="s">
        <v>194</v>
      </c>
    </row>
    <row r="12" spans="1:11" x14ac:dyDescent="0.25">
      <c r="A12" s="35" t="s">
        <v>50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 t="s">
        <v>194</v>
      </c>
    </row>
    <row r="13" spans="1:11" x14ac:dyDescent="0.25">
      <c r="A13" s="35" t="s">
        <v>51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 t="s">
        <v>194</v>
      </c>
    </row>
    <row r="14" spans="1:11" x14ac:dyDescent="0.25">
      <c r="A14" s="35" t="s">
        <v>52</v>
      </c>
      <c r="B14" s="133"/>
      <c r="C14" s="133" t="s">
        <v>194</v>
      </c>
      <c r="D14" s="133"/>
      <c r="E14" s="133"/>
      <c r="F14" s="133"/>
      <c r="G14" s="133"/>
      <c r="H14" s="133"/>
      <c r="I14" s="133"/>
      <c r="J14" s="133"/>
      <c r="K14" s="133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217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4" t="s">
        <v>5</v>
      </c>
    </row>
    <row r="2" spans="1:10" x14ac:dyDescent="0.25">
      <c r="A2" s="40" t="s">
        <v>218</v>
      </c>
      <c r="B2" s="138" t="s">
        <v>32</v>
      </c>
      <c r="C2" s="35" t="s">
        <v>176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38"/>
      <c r="C3" s="35" t="s">
        <v>175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38"/>
      <c r="C4" s="35" t="s">
        <v>174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38" t="s">
        <v>1</v>
      </c>
      <c r="C5" s="35" t="s">
        <v>176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38"/>
      <c r="C6" s="35" t="s">
        <v>175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38"/>
      <c r="C7" s="35" t="s">
        <v>174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38" t="s">
        <v>2</v>
      </c>
      <c r="C8" s="35" t="s">
        <v>176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38"/>
      <c r="C9" s="35" t="s">
        <v>175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38"/>
      <c r="C10" s="35" t="s">
        <v>174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38" t="s">
        <v>3</v>
      </c>
      <c r="C11" s="35" t="s">
        <v>176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38"/>
      <c r="C12" s="35" t="s">
        <v>175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38"/>
      <c r="C13" s="35" t="s">
        <v>174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38" t="s">
        <v>4</v>
      </c>
      <c r="C14" s="35" t="s">
        <v>176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38"/>
      <c r="C15" s="35" t="s">
        <v>175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38"/>
      <c r="C16" s="35" t="s">
        <v>174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5">
      <c r="B17" s="96" t="s">
        <v>172</v>
      </c>
      <c r="C17" s="35" t="s">
        <v>174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x14ac:dyDescent="0.25">
      <c r="A19" s="40" t="s">
        <v>219</v>
      </c>
      <c r="B19" s="138" t="s">
        <v>32</v>
      </c>
      <c r="C19" s="35" t="s">
        <v>176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38"/>
      <c r="C20" s="35" t="s">
        <v>175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38"/>
      <c r="C21" s="35" t="s">
        <v>174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38" t="s">
        <v>1</v>
      </c>
      <c r="C22" s="35" t="s">
        <v>176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38"/>
      <c r="C23" s="35" t="s">
        <v>175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38"/>
      <c r="C24" s="35" t="s">
        <v>174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38" t="s">
        <v>2</v>
      </c>
      <c r="C25" s="35" t="s">
        <v>176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38"/>
      <c r="C26" s="35" t="s">
        <v>175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38"/>
      <c r="C27" s="35" t="s">
        <v>174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38" t="s">
        <v>3</v>
      </c>
      <c r="C28" s="35" t="s">
        <v>176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38"/>
      <c r="C29" s="35" t="s">
        <v>175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38"/>
      <c r="C30" s="35" t="s">
        <v>174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38" t="s">
        <v>4</v>
      </c>
      <c r="C31" s="35" t="s">
        <v>176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38"/>
      <c r="C32" s="35" t="s">
        <v>175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38"/>
      <c r="C33" s="35" t="s">
        <v>174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5">
      <c r="B34" s="96" t="s">
        <v>172</v>
      </c>
      <c r="C34" s="35" t="s">
        <v>174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x14ac:dyDescent="0.25">
      <c r="A36" s="97" t="s">
        <v>220</v>
      </c>
      <c r="B36" s="138" t="s">
        <v>32</v>
      </c>
      <c r="C36" s="35" t="s">
        <v>176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38"/>
      <c r="C37" s="35" t="s">
        <v>175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38"/>
      <c r="C38" s="35" t="s">
        <v>174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38" t="s">
        <v>1</v>
      </c>
      <c r="C39" s="35" t="s">
        <v>176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38"/>
      <c r="C40" s="35" t="s">
        <v>175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38"/>
      <c r="C41" s="35" t="s">
        <v>174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38" t="s">
        <v>2</v>
      </c>
      <c r="C42" s="35" t="s">
        <v>176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38"/>
      <c r="C43" s="35" t="s">
        <v>175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38"/>
      <c r="C44" s="35" t="s">
        <v>174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38" t="s">
        <v>3</v>
      </c>
      <c r="C45" s="35" t="s">
        <v>176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38"/>
      <c r="C46" s="35" t="s">
        <v>175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38"/>
      <c r="C47" s="35" t="s">
        <v>174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38" t="s">
        <v>4</v>
      </c>
      <c r="C48" s="35" t="s">
        <v>176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5">
      <c r="B49" s="138"/>
      <c r="C49" s="35" t="s">
        <v>175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5">
      <c r="B50" s="138"/>
      <c r="C50" s="35" t="s">
        <v>174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x14ac:dyDescent="0.25">
      <c r="B51" s="98" t="s">
        <v>172</v>
      </c>
      <c r="C51" s="35" t="s">
        <v>174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8"/>
  <sheetViews>
    <sheetView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00" customFormat="1" ht="18.75" customHeight="1" x14ac:dyDescent="0.25">
      <c r="A1" s="99" t="s">
        <v>221</v>
      </c>
    </row>
    <row r="2" spans="1:7" ht="15.75" customHeight="1" x14ac:dyDescent="0.25">
      <c r="B2" s="101"/>
      <c r="C2" s="102" t="s">
        <v>26</v>
      </c>
      <c r="D2" s="103" t="s">
        <v>12</v>
      </c>
      <c r="E2" s="103" t="s">
        <v>11</v>
      </c>
      <c r="F2" s="103" t="s">
        <v>9</v>
      </c>
    </row>
    <row r="3" spans="1:7" ht="15.75" customHeight="1" x14ac:dyDescent="0.25">
      <c r="A3" s="40" t="s">
        <v>222</v>
      </c>
      <c r="B3" s="104"/>
      <c r="C3" s="105"/>
      <c r="D3" s="106"/>
      <c r="E3" s="106"/>
      <c r="F3" s="106"/>
    </row>
    <row r="4" spans="1:7" ht="15.75" customHeight="1" x14ac:dyDescent="0.25">
      <c r="B4" s="107" t="s">
        <v>75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76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77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78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25">
      <c r="A9" s="40" t="s">
        <v>223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25">
      <c r="A11" s="99" t="s">
        <v>224</v>
      </c>
      <c r="C11" s="110"/>
      <c r="D11" s="111"/>
      <c r="E11" s="111"/>
      <c r="F11" s="111"/>
      <c r="G11" s="112"/>
    </row>
    <row r="12" spans="1:7" ht="15.75" customHeight="1" x14ac:dyDescent="0.25">
      <c r="A12" s="40" t="s">
        <v>225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226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227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228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5">
      <c r="A16" s="40"/>
      <c r="B16" s="113"/>
      <c r="C16" s="114"/>
      <c r="D16" s="95"/>
      <c r="E16" s="95"/>
      <c r="F16" s="95"/>
      <c r="G16" s="109"/>
    </row>
    <row r="17" spans="1:7" ht="15.75" customHeight="1" x14ac:dyDescent="0.25">
      <c r="A17" s="40" t="s">
        <v>229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73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10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13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14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27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15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00" customFormat="1" x14ac:dyDescent="0.25">
      <c r="A1" s="99" t="s">
        <v>230</v>
      </c>
    </row>
    <row r="2" spans="1:16" x14ac:dyDescent="0.25">
      <c r="A2" s="118" t="s">
        <v>211</v>
      </c>
      <c r="B2" s="119" t="s">
        <v>231</v>
      </c>
      <c r="C2" s="119" t="s">
        <v>232</v>
      </c>
      <c r="D2" s="103" t="s">
        <v>1</v>
      </c>
      <c r="E2" s="103" t="s">
        <v>2</v>
      </c>
      <c r="F2" s="103" t="s">
        <v>3</v>
      </c>
      <c r="G2" s="103" t="s">
        <v>4</v>
      </c>
      <c r="H2" s="103" t="s">
        <v>5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5">
      <c r="A3" s="40"/>
      <c r="B3" s="35" t="s">
        <v>71</v>
      </c>
      <c r="C3" s="43" t="s">
        <v>233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234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235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236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16</v>
      </c>
      <c r="C7" s="43" t="s">
        <v>233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234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235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236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18</v>
      </c>
      <c r="C11" s="43" t="s">
        <v>233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234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235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236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19</v>
      </c>
      <c r="C15" s="43" t="s">
        <v>233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234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235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3.95" customHeight="1" x14ac:dyDescent="0.25">
      <c r="C18" s="43" t="s">
        <v>236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17</v>
      </c>
      <c r="C19" s="43" t="s">
        <v>233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234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235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236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23</v>
      </c>
      <c r="C23" s="43" t="s">
        <v>233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234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235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236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5">
      <c r="A28" s="99" t="s">
        <v>237</v>
      </c>
    </row>
    <row r="29" spans="1:16" s="36" customFormat="1" x14ac:dyDescent="0.25">
      <c r="A29" s="121" t="s">
        <v>238</v>
      </c>
      <c r="B29" s="94" t="s">
        <v>231</v>
      </c>
      <c r="C29" s="94" t="s">
        <v>239</v>
      </c>
      <c r="D29" s="103" t="s">
        <v>1</v>
      </c>
      <c r="E29" s="103" t="s">
        <v>2</v>
      </c>
      <c r="F29" s="103" t="s">
        <v>3</v>
      </c>
      <c r="G29" s="103" t="s">
        <v>4</v>
      </c>
      <c r="H29" s="103" t="s">
        <v>5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40"/>
      <c r="B30" s="35" t="s">
        <v>71</v>
      </c>
      <c r="C30" s="43" t="s">
        <v>233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234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65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66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16</v>
      </c>
      <c r="C34" s="43" t="s">
        <v>233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234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65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66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18</v>
      </c>
      <c r="C38" s="43" t="s">
        <v>233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234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65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66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19</v>
      </c>
      <c r="C42" s="43" t="s">
        <v>233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234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65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66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17</v>
      </c>
      <c r="C46" s="43" t="s">
        <v>233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234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65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66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23</v>
      </c>
      <c r="C50" s="43" t="s">
        <v>233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234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65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66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x14ac:dyDescent="0.25">
      <c r="A55" s="99" t="s">
        <v>240</v>
      </c>
    </row>
    <row r="56" spans="1:16" s="36" customFormat="1" ht="26.4" x14ac:dyDescent="0.25">
      <c r="A56" s="121" t="s">
        <v>70</v>
      </c>
      <c r="B56" s="94" t="s">
        <v>231</v>
      </c>
      <c r="C56" s="123" t="s">
        <v>241</v>
      </c>
      <c r="D56" s="103" t="s">
        <v>53</v>
      </c>
      <c r="E56" s="103" t="s">
        <v>54</v>
      </c>
      <c r="F56" s="103" t="s">
        <v>55</v>
      </c>
      <c r="G56" s="103" t="s">
        <v>56</v>
      </c>
      <c r="H56" s="120"/>
      <c r="M56" s="120"/>
      <c r="N56" s="120"/>
      <c r="O56" s="120"/>
      <c r="P56" s="120"/>
    </row>
    <row r="57" spans="1:16" x14ac:dyDescent="0.25">
      <c r="A57" s="40"/>
      <c r="B57" s="35" t="s">
        <v>38</v>
      </c>
      <c r="C57" s="43" t="s">
        <v>242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243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39</v>
      </c>
      <c r="C59" s="43" t="s">
        <v>242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243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40</v>
      </c>
      <c r="C61" s="43" t="s">
        <v>242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243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x14ac:dyDescent="0.25">
      <c r="A64" s="99" t="s">
        <v>244</v>
      </c>
    </row>
    <row r="65" spans="1:16" s="36" customFormat="1" ht="26.4" x14ac:dyDescent="0.25">
      <c r="A65" s="121" t="s">
        <v>24</v>
      </c>
      <c r="B65" s="94" t="s">
        <v>231</v>
      </c>
      <c r="C65" s="123" t="s">
        <v>245</v>
      </c>
      <c r="D65" s="103" t="s">
        <v>1</v>
      </c>
      <c r="E65" s="103" t="s">
        <v>2</v>
      </c>
      <c r="F65" s="103" t="s">
        <v>3</v>
      </c>
      <c r="G65" s="103" t="s">
        <v>4</v>
      </c>
      <c r="H65" s="124" t="s">
        <v>5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5">
      <c r="A66" s="125"/>
      <c r="B66" s="35" t="s">
        <v>73</v>
      </c>
      <c r="C66" s="43" t="s">
        <v>166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167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168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169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</v>
      </c>
      <c r="C70" s="43" t="s">
        <v>166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167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168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169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</v>
      </c>
      <c r="C74" s="43" t="s">
        <v>166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167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168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169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13</v>
      </c>
      <c r="C78" s="43" t="s">
        <v>166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167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168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169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71</v>
      </c>
      <c r="C82" s="43" t="s">
        <v>166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167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168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169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16</v>
      </c>
      <c r="C86" s="43" t="s">
        <v>166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167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168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169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18</v>
      </c>
      <c r="C90" s="43" t="s">
        <v>166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167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168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169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17</v>
      </c>
      <c r="C94" s="43" t="s">
        <v>166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167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168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169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20</v>
      </c>
      <c r="C98" s="43" t="s">
        <v>166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167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168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169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5">
      <c r="A103" s="99" t="s">
        <v>246</v>
      </c>
    </row>
    <row r="104" spans="1:16" s="36" customFormat="1" ht="26.4" x14ac:dyDescent="0.25">
      <c r="A104" s="121" t="s">
        <v>71</v>
      </c>
      <c r="B104" s="126" t="s">
        <v>169</v>
      </c>
      <c r="C104" s="123" t="s">
        <v>245</v>
      </c>
      <c r="D104" s="103" t="s">
        <v>1</v>
      </c>
      <c r="E104" s="103" t="s">
        <v>2</v>
      </c>
      <c r="F104" s="103" t="s">
        <v>3</v>
      </c>
      <c r="G104" s="103" t="s">
        <v>4</v>
      </c>
      <c r="H104" s="124" t="s">
        <v>5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5">
      <c r="A105" s="40"/>
      <c r="B105" s="36"/>
      <c r="C105" s="43" t="s">
        <v>166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167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168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169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00" customFormat="1" ht="14.25" customHeight="1" x14ac:dyDescent="0.25">
      <c r="A1" s="99" t="s">
        <v>247</v>
      </c>
    </row>
    <row r="2" spans="1:7" ht="14.25" customHeight="1" x14ac:dyDescent="0.25">
      <c r="A2" s="125" t="s">
        <v>25</v>
      </c>
      <c r="B2" s="119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3" t="s">
        <v>248</v>
      </c>
      <c r="C3" s="136" t="s">
        <v>249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5">
      <c r="A4" s="40"/>
      <c r="B4" s="117" t="s">
        <v>250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5">
      <c r="A5" s="104" t="s">
        <v>251</v>
      </c>
    </row>
    <row r="6" spans="1:7" ht="14.25" customHeight="1" x14ac:dyDescent="0.25">
      <c r="B6" s="117" t="s">
        <v>58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136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60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5">
      <c r="B9" s="117"/>
      <c r="C9" s="117"/>
      <c r="D9" s="117"/>
      <c r="E9" s="117"/>
      <c r="F9" s="117"/>
      <c r="G9" s="117"/>
    </row>
    <row r="10" spans="1:7" s="100" customFormat="1" ht="14.25" customHeight="1" x14ac:dyDescent="0.25">
      <c r="A10" s="99" t="s">
        <v>252</v>
      </c>
    </row>
    <row r="11" spans="1:7" ht="14.25" customHeight="1" x14ac:dyDescent="0.25">
      <c r="A11" s="104"/>
      <c r="B11" s="113" t="s">
        <v>195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25">
      <c r="A12" s="104"/>
      <c r="B12" s="113"/>
    </row>
    <row r="13" spans="1:7" s="100" customFormat="1" ht="14.25" customHeight="1" x14ac:dyDescent="0.25">
      <c r="A13" s="99" t="s">
        <v>253</v>
      </c>
    </row>
    <row r="14" spans="1:7" ht="14.25" customHeight="1" x14ac:dyDescent="0.25">
      <c r="A14" s="125" t="s">
        <v>238</v>
      </c>
      <c r="B14" s="117" t="s">
        <v>254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25">
      <c r="A15" s="40"/>
      <c r="B15" s="117" t="s">
        <v>255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5">
      <c r="A16" s="125" t="s">
        <v>70</v>
      </c>
      <c r="B16" s="113" t="s">
        <v>256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5"/>
    <row r="18" spans="1:6" s="100" customFormat="1" ht="14.25" customHeight="1" x14ac:dyDescent="0.25">
      <c r="A18" s="99" t="s">
        <v>257</v>
      </c>
    </row>
    <row r="19" spans="1:6" s="104" customFormat="1" ht="14.25" customHeight="1" x14ac:dyDescent="0.25">
      <c r="C19" s="56" t="s">
        <v>49</v>
      </c>
      <c r="D19" s="56" t="s">
        <v>50</v>
      </c>
      <c r="E19" s="56" t="s">
        <v>51</v>
      </c>
      <c r="F19" s="56" t="s">
        <v>52</v>
      </c>
    </row>
    <row r="20" spans="1:6" x14ac:dyDescent="0.25">
      <c r="B20" s="113" t="s">
        <v>197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F20"/>
  <sheetViews>
    <sheetView workbookViewId="0">
      <selection activeCell="F8" sqref="F8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19" t="s">
        <v>69</v>
      </c>
      <c r="B1" s="40"/>
      <c r="C1" s="40" t="s">
        <v>9</v>
      </c>
      <c r="D1" s="40" t="s">
        <v>12</v>
      </c>
      <c r="E1" s="40" t="s">
        <v>11</v>
      </c>
      <c r="F1" s="119" t="s">
        <v>26</v>
      </c>
    </row>
    <row r="2" spans="1:6" ht="15.75" customHeight="1" x14ac:dyDescent="0.25">
      <c r="A2" s="90" t="s">
        <v>29</v>
      </c>
      <c r="B2" s="90" t="s">
        <v>258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259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187</v>
      </c>
      <c r="B4" s="90" t="s">
        <v>258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259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207</v>
      </c>
      <c r="B6" s="90" t="s">
        <v>258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259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57</v>
      </c>
      <c r="B8" s="90" t="s">
        <v>258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259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34</v>
      </c>
      <c r="B10" s="90" t="s">
        <v>258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259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59</v>
      </c>
      <c r="B12" s="90" t="s">
        <v>258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259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5">
      <c r="A19" s="90"/>
    </row>
    <row r="20" spans="1:1" ht="15.75" customHeight="1" x14ac:dyDescent="0.25">
      <c r="A20" s="90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O28"/>
  <sheetViews>
    <sheetView topLeftCell="G1" workbookViewId="0">
      <selection activeCell="F8" sqref="F8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5</v>
      </c>
      <c r="H1" s="103" t="s">
        <v>49</v>
      </c>
      <c r="I1" s="103" t="s">
        <v>50</v>
      </c>
      <c r="J1" s="103" t="s">
        <v>51</v>
      </c>
      <c r="K1" s="103" t="s">
        <v>52</v>
      </c>
      <c r="L1" s="103" t="s">
        <v>53</v>
      </c>
      <c r="M1" s="103" t="s">
        <v>54</v>
      </c>
      <c r="N1" s="103" t="s">
        <v>55</v>
      </c>
      <c r="O1" s="103" t="s">
        <v>56</v>
      </c>
    </row>
    <row r="2" spans="1:15" x14ac:dyDescent="0.25">
      <c r="A2" s="40" t="s">
        <v>260</v>
      </c>
    </row>
    <row r="3" spans="1:15" x14ac:dyDescent="0.25">
      <c r="B3" s="59" t="s">
        <v>149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188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206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189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190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187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207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57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136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34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.05" customHeight="1" x14ac:dyDescent="0.25">
      <c r="B13" s="59" t="s">
        <v>137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59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x14ac:dyDescent="0.25">
      <c r="A16" s="40" t="s">
        <v>261</v>
      </c>
      <c r="B16" s="59"/>
    </row>
    <row r="17" spans="2:15" x14ac:dyDescent="0.25">
      <c r="B17" s="90" t="s">
        <v>63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5">
      <c r="B18" s="90" t="s">
        <v>64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5">
      <c r="B19" s="90" t="s">
        <v>62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5">
      <c r="B20" s="90" t="s">
        <v>47</v>
      </c>
      <c r="C20" s="136">
        <v>1</v>
      </c>
      <c r="D20" s="136">
        <v>1</v>
      </c>
      <c r="E20" s="136">
        <v>0.9</v>
      </c>
      <c r="F20" s="136">
        <v>0.9</v>
      </c>
      <c r="G20" s="136">
        <v>0.9</v>
      </c>
      <c r="H20" s="136">
        <v>0.9</v>
      </c>
      <c r="I20" s="136">
        <v>0.9</v>
      </c>
      <c r="J20" s="136">
        <v>0.9</v>
      </c>
      <c r="K20" s="136">
        <v>0.9</v>
      </c>
      <c r="L20" s="136">
        <v>0.9</v>
      </c>
      <c r="M20" s="136">
        <v>0.9</v>
      </c>
      <c r="N20" s="136">
        <v>0.9</v>
      </c>
      <c r="O20" s="136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G5"/>
  <sheetViews>
    <sheetView workbookViewId="0">
      <selection activeCell="F8" sqref="F8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19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262</v>
      </c>
    </row>
    <row r="3" spans="1:7" x14ac:dyDescent="0.25">
      <c r="B3" s="59" t="s">
        <v>67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5">
      <c r="A4" s="40" t="s">
        <v>263</v>
      </c>
      <c r="B4" s="59"/>
      <c r="C4" s="127"/>
      <c r="D4" s="127"/>
      <c r="E4" s="127"/>
      <c r="F4" s="127"/>
      <c r="G4" s="127"/>
    </row>
    <row r="5" spans="1:7" x14ac:dyDescent="0.25">
      <c r="B5" s="90" t="s">
        <v>183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I49"/>
  <sheetViews>
    <sheetView topLeftCell="A28" zoomScale="111" workbookViewId="0">
      <selection activeCell="F8" sqref="F8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264</v>
      </c>
      <c r="C1" s="125" t="s">
        <v>265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266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5">
      <c r="C3" s="52" t="s">
        <v>267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9" x14ac:dyDescent="0.25">
      <c r="C4" s="52" t="s">
        <v>268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9" x14ac:dyDescent="0.25">
      <c r="A5" s="52" t="s">
        <v>58</v>
      </c>
      <c r="B5" s="52" t="s">
        <v>66</v>
      </c>
      <c r="C5" s="52" t="s">
        <v>266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5">
      <c r="C6" s="52" t="s">
        <v>268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5">
      <c r="B7" s="52" t="s">
        <v>65</v>
      </c>
      <c r="C7" s="52" t="s">
        <v>266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5">
      <c r="C8" s="52" t="s">
        <v>268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9" x14ac:dyDescent="0.25">
      <c r="A9" s="52" t="s">
        <v>136</v>
      </c>
      <c r="B9" s="52" t="s">
        <v>66</v>
      </c>
      <c r="C9" s="52" t="s">
        <v>266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5">
      <c r="C10" s="52" t="s">
        <v>268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5">
      <c r="B11" s="52" t="s">
        <v>65</v>
      </c>
      <c r="C11" s="52" t="s">
        <v>266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5">
      <c r="C12" s="52" t="s">
        <v>268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5">
      <c r="A13" s="52" t="s">
        <v>61</v>
      </c>
      <c r="B13" s="52" t="s">
        <v>66</v>
      </c>
      <c r="C13" s="52" t="s">
        <v>266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9" x14ac:dyDescent="0.25">
      <c r="C14" s="52" t="s">
        <v>268</v>
      </c>
      <c r="D14" s="136">
        <v>0</v>
      </c>
      <c r="E14" s="136">
        <v>0</v>
      </c>
      <c r="F14" s="136">
        <v>0.7</v>
      </c>
      <c r="G14" s="136">
        <v>0.62</v>
      </c>
      <c r="H14" s="136">
        <v>0.62</v>
      </c>
      <c r="I14" s="36"/>
    </row>
    <row r="15" spans="1:9" x14ac:dyDescent="0.25">
      <c r="B15" s="52" t="s">
        <v>65</v>
      </c>
      <c r="C15" s="52" t="s">
        <v>266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  <c r="I15" s="36"/>
    </row>
    <row r="16" spans="1:9" x14ac:dyDescent="0.25">
      <c r="C16" s="52" t="s">
        <v>268</v>
      </c>
      <c r="D16" s="136">
        <v>0</v>
      </c>
      <c r="E16" s="136">
        <v>0</v>
      </c>
      <c r="F16" s="136">
        <v>0.84</v>
      </c>
      <c r="G16" s="136">
        <v>0.62</v>
      </c>
      <c r="H16" s="136">
        <v>0.62</v>
      </c>
      <c r="I16" s="36"/>
    </row>
    <row r="17" spans="1:9" x14ac:dyDescent="0.25">
      <c r="A17" s="52" t="s">
        <v>62</v>
      </c>
      <c r="B17" s="52" t="s">
        <v>27</v>
      </c>
      <c r="C17" s="52" t="s">
        <v>266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5">
      <c r="C18" s="52" t="s">
        <v>267</v>
      </c>
      <c r="D18" s="136">
        <v>0.46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266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5">
      <c r="C20" s="52" t="s">
        <v>267</v>
      </c>
      <c r="D20" s="136">
        <v>0.46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5">
      <c r="A21" s="52" t="s">
        <v>64</v>
      </c>
      <c r="B21" s="52" t="s">
        <v>27</v>
      </c>
      <c r="C21" s="52" t="s">
        <v>266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5">
      <c r="C22" s="52" t="s">
        <v>267</v>
      </c>
      <c r="D22" s="136">
        <v>0.46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5">
      <c r="A23" s="52" t="s">
        <v>79</v>
      </c>
      <c r="B23" s="52" t="s">
        <v>71</v>
      </c>
      <c r="C23" s="52" t="s">
        <v>266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5">
      <c r="C24" s="52" t="s">
        <v>267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5">
      <c r="C25" s="52" t="s">
        <v>268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5">
      <c r="A26" s="52" t="s">
        <v>80</v>
      </c>
      <c r="B26" s="52" t="s">
        <v>71</v>
      </c>
      <c r="C26" s="52" t="s">
        <v>266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5">
      <c r="C27" s="52" t="s">
        <v>267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5">
      <c r="C28" s="52" t="s">
        <v>268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5">
      <c r="A29" s="52" t="s">
        <v>81</v>
      </c>
      <c r="B29" s="52" t="s">
        <v>71</v>
      </c>
      <c r="C29" s="52" t="s">
        <v>266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5">
      <c r="C30" s="52" t="s">
        <v>267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5">
      <c r="C31" s="52" t="s">
        <v>268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5">
      <c r="A32" s="52" t="s">
        <v>82</v>
      </c>
      <c r="B32" s="52" t="s">
        <v>71</v>
      </c>
      <c r="C32" s="52" t="s">
        <v>266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5">
      <c r="C33" s="52" t="s">
        <v>267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5">
      <c r="C34" s="52" t="s">
        <v>268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5">
      <c r="A35" s="52" t="s">
        <v>83</v>
      </c>
      <c r="B35" s="52" t="s">
        <v>71</v>
      </c>
      <c r="C35" s="52" t="s">
        <v>266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5">
      <c r="C36" s="52" t="s">
        <v>267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5">
      <c r="C37" s="52" t="s">
        <v>268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5">
      <c r="A38" s="52" t="s">
        <v>60</v>
      </c>
      <c r="B38" s="52" t="s">
        <v>71</v>
      </c>
      <c r="C38" s="52" t="s">
        <v>266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5">
      <c r="C39" s="52" t="s">
        <v>267</v>
      </c>
      <c r="D39" s="136">
        <v>0.5</v>
      </c>
      <c r="E39" s="136">
        <v>0.5</v>
      </c>
      <c r="F39" s="136">
        <v>0.5</v>
      </c>
      <c r="G39" s="136">
        <v>0.5</v>
      </c>
      <c r="H39" s="136">
        <v>0.5</v>
      </c>
    </row>
    <row r="40" spans="1:8" x14ac:dyDescent="0.25">
      <c r="C40" s="52" t="s">
        <v>268</v>
      </c>
      <c r="D40" s="136">
        <v>0.65</v>
      </c>
      <c r="E40" s="136">
        <v>0.65</v>
      </c>
      <c r="F40" s="136">
        <v>0.65</v>
      </c>
      <c r="G40" s="136">
        <v>0.65</v>
      </c>
      <c r="H40" s="136">
        <v>0.65</v>
      </c>
    </row>
    <row r="41" spans="1:8" x14ac:dyDescent="0.25">
      <c r="B41" s="52" t="s">
        <v>16</v>
      </c>
      <c r="C41" s="52" t="s">
        <v>266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5">
      <c r="C42" s="52" t="s">
        <v>267</v>
      </c>
      <c r="D42" s="136">
        <v>0.49</v>
      </c>
      <c r="E42" s="136">
        <v>0.49</v>
      </c>
      <c r="F42" s="136">
        <v>0.49</v>
      </c>
      <c r="G42" s="136">
        <v>0.49</v>
      </c>
      <c r="H42" s="136">
        <v>0.49</v>
      </c>
    </row>
    <row r="43" spans="1:8" x14ac:dyDescent="0.25">
      <c r="C43" s="52" t="s">
        <v>268</v>
      </c>
      <c r="D43" s="136">
        <v>0.52</v>
      </c>
      <c r="E43" s="136">
        <v>0.52</v>
      </c>
      <c r="F43" s="136">
        <v>0.52</v>
      </c>
      <c r="G43" s="136">
        <v>0.52</v>
      </c>
      <c r="H43" s="136">
        <v>0.52</v>
      </c>
    </row>
    <row r="44" spans="1:8" x14ac:dyDescent="0.25">
      <c r="A44" s="52" t="s">
        <v>84</v>
      </c>
      <c r="B44" s="52" t="s">
        <v>71</v>
      </c>
      <c r="C44" s="52" t="s">
        <v>266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5">
      <c r="C45" s="52" t="s">
        <v>267</v>
      </c>
      <c r="D45" s="136">
        <v>0.93</v>
      </c>
      <c r="E45" s="136">
        <v>0.93</v>
      </c>
      <c r="F45" s="136">
        <v>0.93</v>
      </c>
      <c r="G45" s="136">
        <v>0.93</v>
      </c>
      <c r="H45" s="136">
        <v>0.93</v>
      </c>
    </row>
    <row r="46" spans="1:8" x14ac:dyDescent="0.25">
      <c r="A46" s="52" t="s">
        <v>85</v>
      </c>
      <c r="B46" s="52" t="s">
        <v>71</v>
      </c>
      <c r="C46" s="52" t="s">
        <v>266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5">
      <c r="C47" s="52" t="s">
        <v>267</v>
      </c>
      <c r="D47" s="136">
        <v>0.86</v>
      </c>
      <c r="E47" s="136">
        <v>0.86</v>
      </c>
      <c r="F47" s="136">
        <v>0.86</v>
      </c>
      <c r="G47" s="136">
        <v>0.86</v>
      </c>
      <c r="H47" s="136">
        <v>0.86</v>
      </c>
    </row>
    <row r="48" spans="1:8" x14ac:dyDescent="0.25">
      <c r="A48" s="52" t="s">
        <v>195</v>
      </c>
      <c r="B48" s="52" t="s">
        <v>13</v>
      </c>
      <c r="C48" s="52" t="s">
        <v>266</v>
      </c>
      <c r="D48" s="136">
        <v>0.57999999999999996</v>
      </c>
      <c r="E48" s="136">
        <v>0.57999999999999996</v>
      </c>
      <c r="F48" s="136">
        <v>0</v>
      </c>
      <c r="G48" s="136">
        <v>0</v>
      </c>
      <c r="H48" s="136">
        <v>0</v>
      </c>
    </row>
    <row r="49" spans="3:8" x14ac:dyDescent="0.25">
      <c r="C49" s="52" t="s">
        <v>267</v>
      </c>
      <c r="D49" s="136">
        <v>0.51</v>
      </c>
      <c r="E49" s="136">
        <v>0.51</v>
      </c>
      <c r="F49" s="136">
        <v>0</v>
      </c>
      <c r="G49" s="136">
        <v>0</v>
      </c>
      <c r="H49" s="136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H7"/>
  <sheetViews>
    <sheetView workbookViewId="0">
      <selection activeCell="F8" sqref="F8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19" t="s">
        <v>69</v>
      </c>
      <c r="B1" s="119" t="s">
        <v>264</v>
      </c>
      <c r="C1" s="119"/>
      <c r="D1" s="40" t="s">
        <v>53</v>
      </c>
      <c r="E1" s="40" t="s">
        <v>54</v>
      </c>
      <c r="F1" s="40" t="s">
        <v>55</v>
      </c>
      <c r="G1" s="40" t="s">
        <v>56</v>
      </c>
      <c r="H1" s="94"/>
    </row>
    <row r="2" spans="1:8" x14ac:dyDescent="0.25">
      <c r="A2" s="43" t="s">
        <v>86</v>
      </c>
      <c r="B2" s="35" t="s">
        <v>41</v>
      </c>
      <c r="C2" s="43" t="s">
        <v>266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267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87</v>
      </c>
      <c r="B4" s="35" t="s">
        <v>41</v>
      </c>
      <c r="C4" s="43" t="s">
        <v>266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267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88</v>
      </c>
      <c r="B6" s="35" t="s">
        <v>41</v>
      </c>
      <c r="C6" s="43" t="s">
        <v>266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267</v>
      </c>
      <c r="D7" s="136">
        <v>0.6</v>
      </c>
      <c r="E7" s="136">
        <v>0.6</v>
      </c>
      <c r="F7" s="136">
        <v>0.6</v>
      </c>
      <c r="G7" s="136">
        <v>0.6</v>
      </c>
      <c r="H7" s="128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2020-06-17T04:29:06Z</dcterms:modified>
</cp:coreProperties>
</file>