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100A5077-67B6-452F-B1F3-372702476DF8}" xr6:coauthVersionLast="45" xr6:coauthVersionMax="45" xr10:uidLastSave="{00000000-0000-0000-0000-000000000000}"/>
  <bookViews>
    <workbookView xWindow="-108" yWindow="-10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state="hidden" r:id="rId11"/>
    <sheet name="Incidence of conditions" sheetId="7" state="hidden" r:id="rId12"/>
    <sheet name="Programs target population" sheetId="21" r:id="rId13"/>
    <sheet name="Cost curve options" sheetId="61" state="hidden" r:id="rId14"/>
    <sheet name="Programs family planning" sheetId="54" state="hidden" r:id="rId15"/>
    <sheet name="Programs impacted population" sheetId="62" state="hidden" r:id="rId16"/>
    <sheet name="Program risk areas" sheetId="63" state="hidden" r:id="rId17"/>
    <sheet name="Population risk areas" sheetId="64" state="hidden" r:id="rId18"/>
    <sheet name="IYCF odds ratios" sheetId="65" state="hidden" r:id="rId19"/>
    <sheet name="Birth outcome risks" sheetId="66" state="hidden" r:id="rId20"/>
    <sheet name="Relative risks" sheetId="67" state="hidden" r:id="rId21"/>
    <sheet name="Odds ratios" sheetId="68" state="hidden" r:id="rId22"/>
    <sheet name="Programs birth outcomes" sheetId="69" state="hidden" r:id="rId23"/>
    <sheet name="Programs anemia" sheetId="70" state="hidden" r:id="rId24"/>
    <sheet name="Programs wasting" sheetId="71" state="hidden" r:id="rId25"/>
    <sheet name="Programs for children" sheetId="72" state="hidden" r:id="rId26"/>
    <sheet name="Programs for PW" sheetId="73" state="hidden" r:id="rId27"/>
  </sheets>
  <definedNames>
    <definedName name="_xlnm._FilterDatabase" localSheetId="19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4" i="51" l="1"/>
  <c r="C11" i="51" l="1"/>
  <c r="C10" i="51"/>
  <c r="L1" i="51" l="1"/>
  <c r="M1" i="51"/>
  <c r="E1" i="51"/>
  <c r="F1" i="51" s="1"/>
  <c r="G1" i="51" s="1"/>
  <c r="H1" i="51" s="1"/>
  <c r="I1" i="51" s="1"/>
  <c r="J1" i="51" s="1"/>
  <c r="K1" i="51" s="1"/>
  <c r="D1" i="51"/>
  <c r="E31" i="21" l="1"/>
  <c r="D5" i="65"/>
  <c r="C35" i="4"/>
  <c r="D23" i="4"/>
  <c r="E23" i="4"/>
  <c r="F23" i="4"/>
  <c r="C23" i="4"/>
  <c r="C11" i="4"/>
  <c r="A1" i="4"/>
  <c r="M23" i="21"/>
  <c r="N23" i="21"/>
  <c r="O23" i="21"/>
  <c r="L23" i="21"/>
  <c r="G11" i="21"/>
  <c r="F11" i="21"/>
  <c r="E11" i="21"/>
  <c r="D11" i="21"/>
  <c r="C11" i="21"/>
  <c r="E7" i="21"/>
  <c r="G7" i="21"/>
  <c r="F7" i="21"/>
  <c r="D7" i="21"/>
  <c r="C7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A2" i="2"/>
  <c r="A22" i="2" s="1"/>
  <c r="A34" i="2"/>
  <c r="A30" i="2"/>
  <c r="A14" i="2"/>
  <c r="A15" i="2"/>
  <c r="A37" i="2"/>
  <c r="A40" i="2"/>
  <c r="A36" i="2"/>
  <c r="A32" i="2"/>
  <c r="A28" i="2"/>
  <c r="A27" i="2"/>
  <c r="A23" i="2"/>
  <c r="A19" i="2"/>
  <c r="G16" i="2"/>
  <c r="H16" i="2"/>
  <c r="I16" i="2" s="1"/>
  <c r="G17" i="2"/>
  <c r="H17" i="2"/>
  <c r="G18" i="2"/>
  <c r="H18" i="2"/>
  <c r="I18" i="2" s="1"/>
  <c r="G19" i="2"/>
  <c r="H19" i="2"/>
  <c r="I19" i="2" s="1"/>
  <c r="G20" i="2"/>
  <c r="H20" i="2"/>
  <c r="G21" i="2"/>
  <c r="H21" i="2"/>
  <c r="I21" i="2" s="1"/>
  <c r="G22" i="2"/>
  <c r="H22" i="2"/>
  <c r="G23" i="2"/>
  <c r="H23" i="2"/>
  <c r="I23" i="2"/>
  <c r="G24" i="2"/>
  <c r="H24" i="2"/>
  <c r="G25" i="2"/>
  <c r="H25" i="2"/>
  <c r="I25" i="2" s="1"/>
  <c r="G26" i="2"/>
  <c r="H26" i="2"/>
  <c r="I26" i="2" s="1"/>
  <c r="G27" i="2"/>
  <c r="H27" i="2"/>
  <c r="I27" i="2" s="1"/>
  <c r="G28" i="2"/>
  <c r="H28" i="2"/>
  <c r="G29" i="2"/>
  <c r="H29" i="2"/>
  <c r="I29" i="2" s="1"/>
  <c r="G30" i="2"/>
  <c r="H30" i="2"/>
  <c r="I30" i="2" s="1"/>
  <c r="G31" i="2"/>
  <c r="H31" i="2"/>
  <c r="I31" i="2" s="1"/>
  <c r="G32" i="2"/>
  <c r="H32" i="2"/>
  <c r="I32" i="2" s="1"/>
  <c r="G33" i="2"/>
  <c r="H33" i="2"/>
  <c r="I33" i="2" s="1"/>
  <c r="G34" i="2"/>
  <c r="H34" i="2"/>
  <c r="I34" i="2" s="1"/>
  <c r="G35" i="2"/>
  <c r="H35" i="2"/>
  <c r="I35" i="2" s="1"/>
  <c r="G36" i="2"/>
  <c r="H36" i="2"/>
  <c r="G37" i="2"/>
  <c r="H37" i="2"/>
  <c r="G38" i="2"/>
  <c r="H38" i="2"/>
  <c r="I38" i="2" s="1"/>
  <c r="G39" i="2"/>
  <c r="H39" i="2"/>
  <c r="I39" i="2" s="1"/>
  <c r="G40" i="2"/>
  <c r="H40" i="2"/>
  <c r="I24" i="2"/>
  <c r="I37" i="2"/>
  <c r="I17" i="2"/>
  <c r="I40" i="2"/>
  <c r="I20" i="2"/>
  <c r="I22" i="2"/>
  <c r="I36" i="2"/>
  <c r="I28" i="2"/>
  <c r="I17" i="21"/>
  <c r="J17" i="21"/>
  <c r="K17" i="21"/>
  <c r="H17" i="21"/>
  <c r="K16" i="21"/>
  <c r="J16" i="21"/>
  <c r="I16" i="21"/>
  <c r="H16" i="21"/>
  <c r="E9" i="21"/>
  <c r="F9" i="21"/>
  <c r="G9" i="21"/>
  <c r="D9" i="21"/>
  <c r="I21" i="2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3" i="21"/>
  <c r="O29" i="2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J15" i="5"/>
  <c r="I15" i="5"/>
  <c r="H15" i="5"/>
  <c r="C7" i="51" s="1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C20" i="1"/>
  <c r="G3" i="2"/>
  <c r="G4" i="2"/>
  <c r="G5" i="2"/>
  <c r="G6" i="2"/>
  <c r="G7" i="2"/>
  <c r="G8" i="2"/>
  <c r="I8" i="2"/>
  <c r="G9" i="2"/>
  <c r="G10" i="2"/>
  <c r="I10" i="2" s="1"/>
  <c r="G11" i="2"/>
  <c r="I11" i="2" s="1"/>
  <c r="G12" i="2"/>
  <c r="I12" i="2" s="1"/>
  <c r="G13" i="2"/>
  <c r="I13" i="2" s="1"/>
  <c r="G14" i="2"/>
  <c r="G15" i="2"/>
  <c r="G2" i="2"/>
  <c r="I2" i="2" s="1"/>
  <c r="A31" i="2" l="1"/>
  <c r="A17" i="2"/>
  <c r="A38" i="2"/>
  <c r="C6" i="51"/>
  <c r="A16" i="2"/>
  <c r="I6" i="2"/>
  <c r="A21" i="2"/>
  <c r="I3" i="2"/>
  <c r="C8" i="51"/>
  <c r="A39" i="2"/>
  <c r="A25" i="2"/>
  <c r="A18" i="2"/>
  <c r="A35" i="2"/>
  <c r="I5" i="2"/>
  <c r="I4" i="2"/>
  <c r="A20" i="2"/>
  <c r="A33" i="2"/>
  <c r="A26" i="2"/>
  <c r="I9" i="2"/>
  <c r="I15" i="2"/>
  <c r="I7" i="2"/>
  <c r="I14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24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The cost per child per year can be estimated as 
</t>
        </r>
        <r>
          <rPr>
            <sz val="9"/>
            <color rgb="FF000000"/>
            <rFont val="Tahoma"/>
            <family val="2"/>
          </rPr>
          <t xml:space="preserve">= (cost per treatment) * (annual diarrhoea incidence)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The cost per child per year can be estimated as 
</t>
        </r>
        <r>
          <rPr>
            <sz val="9"/>
            <color rgb="FF000000"/>
            <rFont val="Tahoma"/>
            <family val="2"/>
          </rPr>
          <t xml:space="preserve">= (cost per treatment episode) * (SAM prevalence) * 2.6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Cost per treatment episode includes management of MAM (if selected) and is an average over delivery modalities. See user guide for further information</t>
        </r>
      </text>
    </comment>
    <comment ref="D38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<sst xmlns="http://schemas.openxmlformats.org/spreadsheetml/2006/main" count="1097" uniqueCount="272">
  <si>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</si>
  <si>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</si>
  <si>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</si>
  <si>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</si>
  <si>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</si>
  <si>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</si>
  <si>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</si>
  <si>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</si>
  <si>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</si>
  <si>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</si>
  <si>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</si>
  <si>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</si>
  <si>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</si>
  <si>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</si>
  <si>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</si>
  <si>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</si>
  <si>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</si>
  <si>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</si>
  <si>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</si>
  <si>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</si>
  <si>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</si>
  <si>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</si>
  <si>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</si>
  <si>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</si>
  <si>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</si>
  <si>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</si>
  <si>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</si>
  <si>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</si>
  <si>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</si>
  <si>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</si>
  <si>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</si>
  <si>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</si>
  <si>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</si>
  <si>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</si>
  <si>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</si>
  <si>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</si>
  <si>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</si>
  <si>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</si>
  <si>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</si>
  <si>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</si>
  <si>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</si>
  <si>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</si>
  <si>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</si>
  <si>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</si>
  <si>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</si>
  <si>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</si>
  <si>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</si>
  <si>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</si>
  <si>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</si>
  <si>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</si>
  <si>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</si>
  <si>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</si>
  <si>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</si>
  <si>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</si>
  <si>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</si>
  <si>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</si>
  <si>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</si>
  <si>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</si>
  <si>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</si>
  <si>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</si>
  <si>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</si>
  <si>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</si>
  <si>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</si>
  <si>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</si>
  <si>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</si>
  <si>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</si>
  <si>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</si>
  <si>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</si>
  <si>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</si>
  <si>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</si>
  <si>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</si>
  <si>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</si>
  <si>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</si>
  <si>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</si>
  <si>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</si>
  <si>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</si>
  <si>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</si>
  <si>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</si>
  <si>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</si>
  <si>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</si>
  <si>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</si>
  <si>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</si>
  <si>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</si>
  <si>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</si>
  <si>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</si>
  <si>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</si>
  <si>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</si>
  <si>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</si>
  <si>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</si>
  <si>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</si>
  <si>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</si>
  <si>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</si>
  <si>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</si>
  <si>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</si>
  <si>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</si>
  <si>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</si>
  <si>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</si>
  <si>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</si>
  <si>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</si>
  <si>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</si>
  <si>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</si>
  <si>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</si>
  <si>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</si>
  <si>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</si>
  <si>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</si>
  <si>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</si>
  <si>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</si>
  <si>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</si>
  <si>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</si>
  <si>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</si>
  <si>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</si>
  <si>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</si>
  <si>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</si>
  <si>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</si>
  <si>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</si>
  <si>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</si>
  <si>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</si>
  <si>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</si>
  <si>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</si>
  <si>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</si>
  <si>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</si>
  <si>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</si>
  <si>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</si>
  <si>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</si>
  <si>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</si>
  <si>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</si>
  <si>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</si>
  <si>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</si>
  <si>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</si>
  <si>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</si>
  <si>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</si>
  <si>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</si>
  <si>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</si>
  <si>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</si>
  <si>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</si>
  <si>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</si>
  <si>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</si>
  <si>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</si>
  <si>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</si>
  <si>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</si>
  <si>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</si>
  <si>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</si>
  <si>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</si>
  <si>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</si>
  <si>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</si>
  <si>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</si>
  <si>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</si>
  <si>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</si>
  <si>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</si>
  <si>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</si>
  <si>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</si>
  <si>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</si>
  <si>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</si>
  <si>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</si>
  <si>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</si>
  <si>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</si>
  <si>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</si>
  <si>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</si>
  <si>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</si>
  <si>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</si>
  <si>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</si>
  <si>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</si>
  <si>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</si>
  <si>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</si>
  <si>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</si>
  <si>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</si>
  <si>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</si>
  <si>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</si>
  <si>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</si>
  <si>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</si>
  <si>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</si>
  <si>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</si>
  <si>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</si>
  <si>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</si>
  <si>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</si>
  <si>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</si>
  <si>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</si>
  <si>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</si>
  <si>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</si>
  <si>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</si>
  <si>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</si>
  <si>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</si>
  <si>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</si>
  <si>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</si>
  <si>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</si>
  <si>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</si>
  <si>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</si>
  <si>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</si>
  <si>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</si>
  <si>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</si>
  <si>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</si>
  <si>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</si>
  <si>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</si>
  <si>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</si>
  <si>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</si>
  <si>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</si>
  <si>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</si>
  <si>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</si>
  <si>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</si>
  <si>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</si>
  <si>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</si>
  <si>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</si>
  <si>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</si>
  <si>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</si>
  <si>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</si>
  <si>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</si>
  <si>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</si>
  <si>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</si>
  <si>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</si>
  <si>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</si>
  <si>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</si>
  <si>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</si>
  <si>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</si>
  <si>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</si>
  <si>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</si>
  <si>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</si>
  <si>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</si>
  <si>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</si>
  <si>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</si>
  <si>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</si>
  <si>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</si>
  <si>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</si>
  <si>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</si>
  <si>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</si>
  <si>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</si>
  <si>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</si>
  <si>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</si>
  <si>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</si>
  <si>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</si>
  <si>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</si>
  <si>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</si>
  <si>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</si>
  <si>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</si>
  <si>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</si>
  <si>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</si>
  <si>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</si>
  <si>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</si>
  <si>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</si>
  <si>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</si>
  <si>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</si>
  <si>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</si>
  <si>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</si>
  <si>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</si>
  <si>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</si>
  <si>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</si>
  <si>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</si>
  <si>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</si>
  <si>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</si>
  <si>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</si>
  <si>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</si>
  <si>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</si>
  <si>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</si>
  <si>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</si>
  <si>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</si>
  <si>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</si>
  <si>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</si>
  <si>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</si>
  <si>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</si>
  <si>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</si>
  <si>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</si>
  <si>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</si>
  <si>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</si>
  <si>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</si>
  <si>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</si>
  <si>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</si>
  <si>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</si>
  <si>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</si>
  <si>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</si>
  <si>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</si>
  <si>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</si>
  <si>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</si>
  <si>
    <t>Unit cost (US$)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</si>
</sst>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39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5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6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34" zoomScaleNormal="100" workbookViewId="0">
      <selection activeCell="C58" sqref="C58:C61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5.9" customHeight="1" x14ac:dyDescent="0.25">
      <c r="A1" s="1" t="s">
        <v>100</v>
      </c>
      <c r="B1" s="41" t="s">
        <v>164</v>
      </c>
      <c r="C1" s="41" t="s">
        <v>165</v>
      </c>
    </row>
    <row r="2" spans="1:3" ht="15.9" customHeight="1" x14ac:dyDescent="0.25">
      <c r="A2" s="12" t="s">
        <v>191</v>
      </c>
      <c r="B2" s="41"/>
      <c r="C2" s="41"/>
    </row>
    <row r="3" spans="1:3" ht="15.9" customHeight="1" x14ac:dyDescent="0.25">
      <c r="A3" s="1"/>
      <c r="B3" s="7" t="s">
        <v>193</v>
      </c>
      <c r="C3" s="63">
        <v>2020</v>
      </c>
    </row>
    <row r="4" spans="1:3" ht="15.9" customHeight="1" x14ac:dyDescent="0.25">
      <c r="A4" s="1"/>
      <c r="B4" s="9" t="s">
        <v>192</v>
      </c>
      <c r="C4" s="64">
        <v>2030</v>
      </c>
    </row>
    <row r="5" spans="1:3" ht="15.9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65">
        <v>4366441</v>
      </c>
    </row>
    <row r="8" spans="1:3" ht="15" customHeight="1" x14ac:dyDescent="0.25">
      <c r="B8" s="7" t="s">
        <v>106</v>
      </c>
      <c r="C8" s="66">
        <v>0.44500000000000001</v>
      </c>
    </row>
    <row r="9" spans="1:3" ht="15" customHeight="1" x14ac:dyDescent="0.25">
      <c r="B9" s="9" t="s">
        <v>107</v>
      </c>
      <c r="C9" s="67">
        <v>0.89</v>
      </c>
    </row>
    <row r="10" spans="1:3" ht="15" customHeight="1" x14ac:dyDescent="0.25">
      <c r="B10" s="9" t="s">
        <v>105</v>
      </c>
      <c r="C10" s="67">
        <v>0.17105390548706101</v>
      </c>
    </row>
    <row r="11" spans="1:3" ht="15" customHeight="1" x14ac:dyDescent="0.25">
      <c r="B11" s="7" t="s">
        <v>108</v>
      </c>
      <c r="C11" s="66">
        <v>0.38500000000000001</v>
      </c>
    </row>
    <row r="12" spans="1:3" ht="15" customHeight="1" x14ac:dyDescent="0.25">
      <c r="B12" s="7" t="s">
        <v>109</v>
      </c>
      <c r="C12" s="66">
        <v>0.59299999999999997</v>
      </c>
    </row>
    <row r="13" spans="1:3" ht="15" customHeight="1" x14ac:dyDescent="0.25">
      <c r="B13" s="7" t="s">
        <v>110</v>
      </c>
      <c r="C13" s="66">
        <v>0.54600000000000004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68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0.13470000000000001</v>
      </c>
    </row>
    <row r="24" spans="1:3" ht="15" customHeight="1" x14ac:dyDescent="0.25">
      <c r="B24" s="20" t="s">
        <v>102</v>
      </c>
      <c r="C24" s="67">
        <v>0.43479999999999996</v>
      </c>
    </row>
    <row r="25" spans="1:3" ht="15" customHeight="1" x14ac:dyDescent="0.25">
      <c r="B25" s="20" t="s">
        <v>103</v>
      </c>
      <c r="C25" s="67">
        <v>0.33339999999999997</v>
      </c>
    </row>
    <row r="26" spans="1:3" ht="15" customHeight="1" x14ac:dyDescent="0.25">
      <c r="B26" s="20" t="s">
        <v>104</v>
      </c>
      <c r="C26" s="67">
        <v>9.7100000000000006E-2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196</v>
      </c>
      <c r="B28" s="20"/>
      <c r="C28" s="20"/>
    </row>
    <row r="29" spans="1:3" ht="14.25" customHeight="1" x14ac:dyDescent="0.25">
      <c r="B29" s="30" t="s">
        <v>75</v>
      </c>
      <c r="C29" s="69">
        <v>0.157</v>
      </c>
    </row>
    <row r="30" spans="1:3" ht="14.25" customHeight="1" x14ac:dyDescent="0.25">
      <c r="B30" s="30" t="s">
        <v>76</v>
      </c>
      <c r="C30" s="69">
        <v>4.9000000000000002E-2</v>
      </c>
    </row>
    <row r="31" spans="1:3" ht="14.25" customHeight="1" x14ac:dyDescent="0.25">
      <c r="B31" s="30" t="s">
        <v>77</v>
      </c>
      <c r="C31" s="69">
        <v>0.152</v>
      </c>
    </row>
    <row r="32" spans="1:3" ht="14.25" customHeight="1" x14ac:dyDescent="0.25">
      <c r="B32" s="30" t="s">
        <v>78</v>
      </c>
      <c r="C32" s="69">
        <v>0.64200000000000002</v>
      </c>
    </row>
    <row r="33" spans="1:5" ht="13.2" x14ac:dyDescent="0.25">
      <c r="B33" s="32" t="s">
        <v>129</v>
      </c>
      <c r="C33" s="70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1">
        <v>26</v>
      </c>
    </row>
    <row r="38" spans="1:5" ht="15" customHeight="1" x14ac:dyDescent="0.25">
      <c r="B38" s="16" t="s">
        <v>91</v>
      </c>
      <c r="C38" s="71">
        <v>48.3</v>
      </c>
      <c r="D38" s="17"/>
      <c r="E38" s="18"/>
    </row>
    <row r="39" spans="1:5" ht="15" customHeight="1" x14ac:dyDescent="0.25">
      <c r="B39" s="16" t="s">
        <v>90</v>
      </c>
      <c r="C39" s="71">
        <v>84.5</v>
      </c>
      <c r="D39" s="17"/>
      <c r="E39" s="17"/>
    </row>
    <row r="40" spans="1:5" ht="15" customHeight="1" x14ac:dyDescent="0.25">
      <c r="B40" s="16" t="s">
        <v>171</v>
      </c>
      <c r="C40" s="71">
        <v>5.53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71">
        <v>36.700000000000003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1.5100000000000001E-2</v>
      </c>
      <c r="D45" s="17"/>
    </row>
    <row r="46" spans="1:5" ht="15.75" customHeight="1" x14ac:dyDescent="0.25">
      <c r="B46" s="16" t="s">
        <v>11</v>
      </c>
      <c r="C46" s="67">
        <v>7.9100000000000004E-2</v>
      </c>
      <c r="D46" s="17"/>
    </row>
    <row r="47" spans="1:5" ht="15.75" customHeight="1" x14ac:dyDescent="0.25">
      <c r="B47" s="16" t="s">
        <v>12</v>
      </c>
      <c r="C47" s="67">
        <v>0.36609999999999998</v>
      </c>
      <c r="D47" s="17"/>
      <c r="E47" s="18"/>
    </row>
    <row r="48" spans="1:5" ht="15" customHeight="1" x14ac:dyDescent="0.25">
      <c r="B48" s="16" t="s">
        <v>26</v>
      </c>
      <c r="C48" s="68">
        <f>1-term_SGA-preterm_AGA-preterm_SGA</f>
        <v>0.53969999999999996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2">
        <v>3.4670697857225004</v>
      </c>
      <c r="D51" s="17"/>
    </row>
    <row r="52" spans="1:4" ht="15" customHeight="1" x14ac:dyDescent="0.25">
      <c r="B52" s="16" t="s">
        <v>125</v>
      </c>
      <c r="C52" s="72">
        <v>3.39665829071</v>
      </c>
    </row>
    <row r="53" spans="1:4" ht="15.75" customHeight="1" x14ac:dyDescent="0.25">
      <c r="B53" s="16" t="s">
        <v>126</v>
      </c>
      <c r="C53" s="72">
        <v>3.39665829071</v>
      </c>
    </row>
    <row r="54" spans="1:4" ht="15.75" customHeight="1" x14ac:dyDescent="0.25">
      <c r="B54" s="16" t="s">
        <v>127</v>
      </c>
      <c r="C54" s="72">
        <v>2.1984552913899997</v>
      </c>
    </row>
    <row r="55" spans="1:4" ht="15.75" customHeight="1" x14ac:dyDescent="0.25">
      <c r="B55" s="16" t="s">
        <v>128</v>
      </c>
      <c r="C55" s="72">
        <v>2.1984552913899997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0.42532672012857409</v>
      </c>
    </row>
    <row r="60" spans="1:4" ht="15.75" customHeight="1" x14ac:dyDescent="0.25">
      <c r="B60" s="16" t="s">
        <v>269</v>
      </c>
      <c r="C60" s="66">
        <v>0.05</v>
      </c>
    </row>
    <row r="61" spans="1:4" ht="15.75" customHeight="1" x14ac:dyDescent="0.25">
      <c r="B61" s="16" t="s">
        <v>270</v>
      </c>
      <c r="C61" s="66">
        <v>0.01</v>
      </c>
    </row>
    <row r="63" spans="1:4" ht="15.75" customHeight="1" x14ac:dyDescent="0.25">
      <c r="A63" s="4"/>
    </row>
  </sheetData>
  <sheetProtection algorithmName="SHA-512" hashValue="6vBZiUpKF81G/we4/YZ98KetIv0SrNKtQefNuwvLhXejAdwetO4LiAsNak9JhiAk3T9oiMUputwflWPXg8CU+Q==" saltValue="y73DDGbNqaWLRrBT8qLb5A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0"/>
  <sheetViews>
    <sheetView workbookViewId="0">
      <selection activeCell="B4" sqref="B4"/>
    </sheetView>
  </sheetViews>
  <sheetFormatPr defaultColWidth="11.44140625" defaultRowHeight="13.2" x14ac:dyDescent="0.25"/>
  <cols>
    <col min="1" max="1" width="53" style="52" bestFit="1" customWidth="1"/>
    <col min="2" max="2" width="47.886718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180</v>
      </c>
      <c r="C1" s="40" t="s">
        <v>179</v>
      </c>
    </row>
    <row r="2" spans="1:3" x14ac:dyDescent="0.25">
      <c r="A2" s="83" t="s">
        <v>187</v>
      </c>
      <c r="B2" s="80" t="s">
        <v>59</v>
      </c>
      <c r="C2" s="80"/>
    </row>
    <row r="3" spans="1:3" x14ac:dyDescent="0.25">
      <c r="A3" s="83" t="s">
        <v>207</v>
      </c>
      <c r="B3" s="80" t="s">
        <v>59</v>
      </c>
      <c r="C3" s="80"/>
    </row>
    <row r="4" spans="1:3" x14ac:dyDescent="0.25">
      <c r="A4" s="84" t="s">
        <v>58</v>
      </c>
      <c r="B4" s="80" t="s">
        <v>136</v>
      </c>
      <c r="C4" s="80"/>
    </row>
    <row r="5" spans="1:3" x14ac:dyDescent="0.25">
      <c r="A5" s="84" t="s">
        <v>137</v>
      </c>
      <c r="B5" s="80" t="s">
        <v>136</v>
      </c>
      <c r="C5" s="80"/>
    </row>
    <row r="6" spans="1:3" x14ac:dyDescent="0.25">
      <c r="A6" s="84"/>
      <c r="B6" s="85"/>
      <c r="C6" s="85"/>
    </row>
    <row r="7" spans="1:3" x14ac:dyDescent="0.25">
      <c r="A7" s="84"/>
      <c r="B7" s="85"/>
      <c r="C7" s="85"/>
    </row>
    <row r="8" spans="1:3" x14ac:dyDescent="0.25">
      <c r="A8" s="84"/>
      <c r="B8" s="85"/>
      <c r="C8" s="85"/>
    </row>
    <row r="9" spans="1:3" x14ac:dyDescent="0.25">
      <c r="A9" s="84"/>
      <c r="B9" s="85"/>
      <c r="C9" s="85"/>
    </row>
    <row r="10" spans="1:3" x14ac:dyDescent="0.25">
      <c r="A10" s="84"/>
      <c r="B10" s="85"/>
      <c r="C10" s="85"/>
    </row>
    <row r="11" spans="1:3" x14ac:dyDescent="0.25">
      <c r="A11" s="86"/>
      <c r="B11" s="85"/>
      <c r="C11" s="85"/>
    </row>
    <row r="12" spans="1:3" x14ac:dyDescent="0.25">
      <c r="A12" s="86"/>
      <c r="B12" s="85"/>
      <c r="C12" s="85"/>
    </row>
    <row r="13" spans="1:3" x14ac:dyDescent="0.25">
      <c r="A13" s="86"/>
      <c r="B13" s="85"/>
      <c r="C13" s="85"/>
    </row>
    <row r="14" spans="1:3" x14ac:dyDescent="0.25">
      <c r="A14" s="86"/>
      <c r="B14" s="85"/>
      <c r="C14" s="85"/>
    </row>
    <row r="15" spans="1:3" x14ac:dyDescent="0.25">
      <c r="A15" s="86"/>
      <c r="B15" s="85"/>
      <c r="C15" s="85"/>
    </row>
    <row r="16" spans="1:3" x14ac:dyDescent="0.25">
      <c r="A16" s="86"/>
      <c r="B16" s="85"/>
      <c r="C16" s="85"/>
    </row>
    <row r="17" spans="1:3" x14ac:dyDescent="0.25">
      <c r="A17" s="86"/>
      <c r="B17" s="85"/>
      <c r="C17" s="85"/>
    </row>
    <row r="18" spans="1:3" x14ac:dyDescent="0.25">
      <c r="A18" s="86"/>
      <c r="B18" s="85"/>
      <c r="C18" s="85"/>
    </row>
    <row r="19" spans="1:3" x14ac:dyDescent="0.25">
      <c r="A19" s="84"/>
      <c r="B19" s="85"/>
      <c r="C19" s="85"/>
    </row>
    <row r="20" spans="1:3" x14ac:dyDescent="0.25">
      <c r="A20" s="84"/>
      <c r="B20" s="85"/>
      <c r="C20" s="85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C2" sqref="C2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3.4670697857225004</v>
      </c>
      <c r="C2" s="26">
        <f>'Baseline year population inputs'!C52</f>
        <v>3.39665829071</v>
      </c>
      <c r="D2" s="26">
        <f>'Baseline year population inputs'!C53</f>
        <v>3.39665829071</v>
      </c>
      <c r="E2" s="26">
        <f>'Baseline year population inputs'!C54</f>
        <v>2.1984552913899997</v>
      </c>
      <c r="F2" s="26">
        <f>'Baseline year population inputs'!C55</f>
        <v>2.1984552913899997</v>
      </c>
    </row>
    <row r="3" spans="1:6" ht="15.75" customHeight="1" x14ac:dyDescent="0.25">
      <c r="A3" s="3" t="s">
        <v>65</v>
      </c>
      <c r="B3" s="26">
        <f>frac_mam_1month * 2.6</f>
        <v>0.10519912000000001</v>
      </c>
      <c r="C3" s="26">
        <f>frac_mam_1_5months * 2.6</f>
        <v>0.10519912000000001</v>
      </c>
      <c r="D3" s="26">
        <f>frac_mam_6_11months * 2.6</f>
        <v>0.32063569200000003</v>
      </c>
      <c r="E3" s="26">
        <f>frac_mam_12_23months * 2.6</f>
        <v>0.3313777376</v>
      </c>
      <c r="F3" s="26">
        <f>frac_mam_24_59months * 2.6</f>
        <v>0.13713497789333332</v>
      </c>
    </row>
    <row r="4" spans="1:6" ht="15.75" customHeight="1" x14ac:dyDescent="0.25">
      <c r="A4" s="3" t="s">
        <v>66</v>
      </c>
      <c r="B4" s="26">
        <f>frac_sam_1month * 2.6</f>
        <v>6.6491729200000002E-2</v>
      </c>
      <c r="C4" s="26">
        <f>frac_sam_1_5months * 2.6</f>
        <v>6.6491729200000002E-2</v>
      </c>
      <c r="D4" s="26">
        <f>frac_sam_6_11months * 2.6</f>
        <v>0.14101854000000003</v>
      </c>
      <c r="E4" s="26">
        <f>frac_sam_12_23months * 2.6</f>
        <v>6.9216976400000005E-2</v>
      </c>
      <c r="F4" s="26">
        <f>frac_sam_24_59months * 2.6</f>
        <v>1.8506560973333332E-2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39"/>
  <sheetViews>
    <sheetView topLeftCell="A4" zoomScale="85" zoomScaleNormal="118" workbookViewId="0">
      <selection activeCell="D9" sqref="D9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87">
        <v>0</v>
      </c>
      <c r="D2" s="87">
        <f>food_insecure</f>
        <v>0.44500000000000001</v>
      </c>
      <c r="E2" s="87">
        <f>food_insecure</f>
        <v>0.44500000000000001</v>
      </c>
      <c r="F2" s="87">
        <f>food_insecure</f>
        <v>0.44500000000000001</v>
      </c>
      <c r="G2" s="87">
        <f>food_insecure</f>
        <v>0.44500000000000001</v>
      </c>
      <c r="H2" s="88">
        <v>0</v>
      </c>
      <c r="I2" s="88">
        <v>0</v>
      </c>
      <c r="J2" s="88">
        <v>0</v>
      </c>
      <c r="K2" s="88">
        <v>0</v>
      </c>
      <c r="L2" s="88">
        <v>0</v>
      </c>
      <c r="M2" s="88">
        <v>0</v>
      </c>
      <c r="N2" s="88">
        <v>0</v>
      </c>
      <c r="O2" s="88">
        <v>0</v>
      </c>
    </row>
    <row r="3" spans="1:15" ht="15.75" customHeight="1" x14ac:dyDescent="0.25">
      <c r="B3" s="7" t="s">
        <v>149</v>
      </c>
      <c r="C3" s="87">
        <v>1</v>
      </c>
      <c r="D3" s="87">
        <v>0</v>
      </c>
      <c r="E3" s="87">
        <v>0</v>
      </c>
      <c r="F3" s="87">
        <v>0</v>
      </c>
      <c r="G3" s="87">
        <v>0</v>
      </c>
      <c r="H3" s="88">
        <v>0</v>
      </c>
      <c r="I3" s="88">
        <v>0</v>
      </c>
      <c r="J3" s="88">
        <v>0</v>
      </c>
      <c r="K3" s="88">
        <v>0</v>
      </c>
      <c r="L3" s="88">
        <v>0</v>
      </c>
      <c r="M3" s="88">
        <v>0</v>
      </c>
      <c r="N3" s="88">
        <v>0</v>
      </c>
      <c r="O3" s="88">
        <v>0</v>
      </c>
    </row>
    <row r="4" spans="1:15" ht="15.75" customHeight="1" x14ac:dyDescent="0.25">
      <c r="B4" s="7" t="s">
        <v>195</v>
      </c>
      <c r="C4" s="87">
        <v>1</v>
      </c>
      <c r="D4" s="87">
        <v>0</v>
      </c>
      <c r="E4" s="87">
        <v>0</v>
      </c>
      <c r="F4" s="87">
        <v>0</v>
      </c>
      <c r="G4" s="87">
        <v>0</v>
      </c>
      <c r="H4" s="88">
        <v>0</v>
      </c>
      <c r="I4" s="88">
        <v>0</v>
      </c>
      <c r="J4" s="88">
        <v>0</v>
      </c>
      <c r="K4" s="88">
        <v>0</v>
      </c>
      <c r="L4" s="88">
        <v>0</v>
      </c>
      <c r="M4" s="88">
        <v>0</v>
      </c>
      <c r="N4" s="88">
        <v>0</v>
      </c>
      <c r="O4" s="88">
        <v>0</v>
      </c>
    </row>
    <row r="5" spans="1:15" ht="15.75" customHeight="1" x14ac:dyDescent="0.25">
      <c r="B5" s="11" t="s">
        <v>136</v>
      </c>
      <c r="C5" s="87">
        <v>0</v>
      </c>
      <c r="D5" s="87">
        <v>0</v>
      </c>
      <c r="E5" s="87">
        <f>food_insecure</f>
        <v>0.44500000000000001</v>
      </c>
      <c r="F5" s="87">
        <f>food_insecure</f>
        <v>0.44500000000000001</v>
      </c>
      <c r="G5" s="87">
        <v>0</v>
      </c>
      <c r="H5" s="88">
        <v>0</v>
      </c>
      <c r="I5" s="88">
        <v>0</v>
      </c>
      <c r="J5" s="88">
        <v>0</v>
      </c>
      <c r="K5" s="88">
        <v>0</v>
      </c>
      <c r="L5" s="88">
        <v>0</v>
      </c>
      <c r="M5" s="88">
        <v>0</v>
      </c>
      <c r="N5" s="88">
        <v>0</v>
      </c>
      <c r="O5" s="88">
        <v>0</v>
      </c>
    </row>
    <row r="6" spans="1:15" ht="15.75" customHeight="1" x14ac:dyDescent="0.25">
      <c r="B6" s="11" t="s">
        <v>137</v>
      </c>
      <c r="C6" s="87">
        <v>0</v>
      </c>
      <c r="D6" s="87">
        <v>0</v>
      </c>
      <c r="E6" s="87">
        <f>1</f>
        <v>1</v>
      </c>
      <c r="F6" s="87">
        <f>1</f>
        <v>1</v>
      </c>
      <c r="G6" s="87">
        <f>1</f>
        <v>1</v>
      </c>
      <c r="H6" s="88">
        <v>0</v>
      </c>
      <c r="I6" s="88">
        <v>0</v>
      </c>
      <c r="J6" s="88">
        <v>0</v>
      </c>
      <c r="K6" s="88">
        <v>0</v>
      </c>
      <c r="L6" s="88">
        <v>0</v>
      </c>
      <c r="M6" s="88">
        <v>0</v>
      </c>
      <c r="N6" s="88">
        <v>0</v>
      </c>
      <c r="O6" s="88">
        <v>0</v>
      </c>
    </row>
    <row r="7" spans="1:15" ht="15.75" customHeight="1" x14ac:dyDescent="0.25">
      <c r="B7" s="33" t="s">
        <v>84</v>
      </c>
      <c r="C7" s="87">
        <f>diarrhoea_1mo/26</f>
        <v>0.13334883791240387</v>
      </c>
      <c r="D7" s="87">
        <f>diarrhoea_1_5mo/26</f>
        <v>0.13064070348884615</v>
      </c>
      <c r="E7" s="87">
        <f>diarrhoea_6_11mo/26</f>
        <v>0.13064070348884615</v>
      </c>
      <c r="F7" s="87">
        <f>diarrhoea_12_23mo/26</f>
        <v>8.4555972745769217E-2</v>
      </c>
      <c r="G7" s="87">
        <f>diarrhoea_24_59mo/26</f>
        <v>8.4555972745769217E-2</v>
      </c>
      <c r="H7" s="88">
        <v>0</v>
      </c>
      <c r="I7" s="88">
        <v>0</v>
      </c>
      <c r="J7" s="88">
        <v>0</v>
      </c>
      <c r="K7" s="88">
        <v>0</v>
      </c>
      <c r="L7" s="88">
        <v>0</v>
      </c>
      <c r="M7" s="88">
        <v>0</v>
      </c>
      <c r="N7" s="88">
        <v>0</v>
      </c>
      <c r="O7" s="88">
        <v>0</v>
      </c>
    </row>
    <row r="8" spans="1:15" ht="15.75" customHeight="1" x14ac:dyDescent="0.25">
      <c r="B8" s="11" t="s">
        <v>58</v>
      </c>
      <c r="C8" s="87">
        <v>0</v>
      </c>
      <c r="D8" s="87">
        <v>0</v>
      </c>
      <c r="E8" s="87">
        <f>food_insecure</f>
        <v>0.44500000000000001</v>
      </c>
      <c r="F8" s="87">
        <f>food_insecure</f>
        <v>0.44500000000000001</v>
      </c>
      <c r="G8" s="87">
        <v>0</v>
      </c>
      <c r="H8" s="88">
        <v>0</v>
      </c>
      <c r="I8" s="88">
        <v>0</v>
      </c>
      <c r="J8" s="88">
        <v>0</v>
      </c>
      <c r="K8" s="88">
        <v>0</v>
      </c>
      <c r="L8" s="88">
        <v>0</v>
      </c>
      <c r="M8" s="88">
        <v>0</v>
      </c>
      <c r="N8" s="88">
        <v>0</v>
      </c>
      <c r="O8" s="88">
        <v>0</v>
      </c>
    </row>
    <row r="9" spans="1:15" ht="15.75" customHeight="1" x14ac:dyDescent="0.25">
      <c r="B9" s="11" t="s">
        <v>67</v>
      </c>
      <c r="C9" s="87">
        <v>0</v>
      </c>
      <c r="D9" s="87">
        <f>IF(ISBLANK(comm_deliv), frac_children_health_facility,1)</f>
        <v>0.59299999999999997</v>
      </c>
      <c r="E9" s="87">
        <f>IF(ISBLANK(comm_deliv), frac_children_health_facility,1)</f>
        <v>0.59299999999999997</v>
      </c>
      <c r="F9" s="87">
        <f>IF(ISBLANK(comm_deliv), frac_children_health_facility,1)</f>
        <v>0.59299999999999997</v>
      </c>
      <c r="G9" s="87">
        <f>IF(ISBLANK(comm_deliv), frac_children_health_facility,1)</f>
        <v>0.59299999999999997</v>
      </c>
      <c r="H9" s="88">
        <v>0</v>
      </c>
      <c r="I9" s="88">
        <v>0</v>
      </c>
      <c r="J9" s="88">
        <v>0</v>
      </c>
      <c r="K9" s="88">
        <v>0</v>
      </c>
      <c r="L9" s="88">
        <v>0</v>
      </c>
      <c r="M9" s="88">
        <v>0</v>
      </c>
      <c r="N9" s="88">
        <v>0</v>
      </c>
      <c r="O9" s="88">
        <v>0</v>
      </c>
    </row>
    <row r="10" spans="1:15" ht="15" customHeight="1" x14ac:dyDescent="0.25">
      <c r="B10" s="11" t="s">
        <v>28</v>
      </c>
      <c r="C10" s="87">
        <v>0</v>
      </c>
      <c r="D10" s="87">
        <v>0</v>
      </c>
      <c r="E10" s="87">
        <v>1</v>
      </c>
      <c r="F10" s="87">
        <v>1</v>
      </c>
      <c r="G10" s="87">
        <v>1</v>
      </c>
      <c r="H10" s="88">
        <v>0</v>
      </c>
      <c r="I10" s="88">
        <v>0</v>
      </c>
      <c r="J10" s="88">
        <v>0</v>
      </c>
      <c r="K10" s="88">
        <v>0</v>
      </c>
      <c r="L10" s="88">
        <v>0</v>
      </c>
      <c r="M10" s="88">
        <v>0</v>
      </c>
      <c r="N10" s="88">
        <v>0</v>
      </c>
      <c r="O10" s="88">
        <v>0</v>
      </c>
    </row>
    <row r="11" spans="1:15" ht="15.75" customHeight="1" x14ac:dyDescent="0.25">
      <c r="B11" s="33" t="s">
        <v>85</v>
      </c>
      <c r="C11" s="87">
        <f>diarrhoea_1mo/26</f>
        <v>0.13334883791240387</v>
      </c>
      <c r="D11" s="87">
        <f>diarrhoea_1_5mo/26</f>
        <v>0.13064070348884615</v>
      </c>
      <c r="E11" s="87">
        <f>diarrhoea_6_11mo/26</f>
        <v>0.13064070348884615</v>
      </c>
      <c r="F11" s="87">
        <f>diarrhoea_12_23mo/26</f>
        <v>8.4555972745769217E-2</v>
      </c>
      <c r="G11" s="87">
        <f>diarrhoea_24_59mo/26</f>
        <v>8.4555972745769217E-2</v>
      </c>
      <c r="H11" s="88">
        <v>0</v>
      </c>
      <c r="I11" s="88">
        <v>0</v>
      </c>
      <c r="J11" s="88">
        <v>0</v>
      </c>
      <c r="K11" s="88">
        <v>0</v>
      </c>
      <c r="L11" s="88">
        <v>0</v>
      </c>
      <c r="M11" s="88">
        <v>0</v>
      </c>
      <c r="N11" s="88">
        <v>0</v>
      </c>
      <c r="O11" s="88">
        <v>0</v>
      </c>
    </row>
    <row r="12" spans="1:15" ht="15.75" customHeight="1" x14ac:dyDescent="0.25">
      <c r="B12" s="11" t="s">
        <v>60</v>
      </c>
      <c r="C12" s="87">
        <v>0</v>
      </c>
      <c r="D12" s="87">
        <v>0</v>
      </c>
      <c r="E12" s="87">
        <v>1</v>
      </c>
      <c r="F12" s="87">
        <v>1</v>
      </c>
      <c r="G12" s="87">
        <v>1</v>
      </c>
      <c r="H12" s="88">
        <v>0</v>
      </c>
      <c r="I12" s="88">
        <v>0</v>
      </c>
      <c r="J12" s="88">
        <v>0</v>
      </c>
      <c r="K12" s="88">
        <v>0</v>
      </c>
      <c r="L12" s="88">
        <v>0</v>
      </c>
      <c r="M12" s="88">
        <v>0</v>
      </c>
      <c r="N12" s="88">
        <v>0</v>
      </c>
      <c r="O12" s="88">
        <v>0</v>
      </c>
    </row>
    <row r="13" spans="1:15" ht="15.75" customHeight="1" x14ac:dyDescent="0.25">
      <c r="B13" s="33"/>
    </row>
    <row r="14" spans="1:15" ht="15.75" customHeight="1" x14ac:dyDescent="0.25">
      <c r="A14" s="4" t="s">
        <v>32</v>
      </c>
      <c r="B14" s="33" t="s">
        <v>29</v>
      </c>
      <c r="C14" s="88">
        <v>0</v>
      </c>
      <c r="D14" s="88">
        <v>0</v>
      </c>
      <c r="E14" s="88">
        <v>0</v>
      </c>
      <c r="F14" s="88">
        <v>0</v>
      </c>
      <c r="G14" s="88">
        <v>0</v>
      </c>
      <c r="H14" s="87">
        <f>food_insecure</f>
        <v>0.44500000000000001</v>
      </c>
      <c r="I14" s="87">
        <f>food_insecure</f>
        <v>0.44500000000000001</v>
      </c>
      <c r="J14" s="87">
        <f>food_insecure</f>
        <v>0.44500000000000001</v>
      </c>
      <c r="K14" s="87">
        <f>food_insecure</f>
        <v>0.44500000000000001</v>
      </c>
      <c r="L14" s="88">
        <v>0</v>
      </c>
      <c r="M14" s="88">
        <v>0</v>
      </c>
      <c r="N14" s="88">
        <v>0</v>
      </c>
      <c r="O14" s="88">
        <v>0</v>
      </c>
    </row>
    <row r="15" spans="1:15" ht="15.75" customHeight="1" x14ac:dyDescent="0.25">
      <c r="A15" s="4"/>
      <c r="B15" s="11" t="s">
        <v>86</v>
      </c>
      <c r="C15" s="88">
        <v>0</v>
      </c>
      <c r="D15" s="88">
        <v>0</v>
      </c>
      <c r="E15" s="88">
        <v>0</v>
      </c>
      <c r="F15" s="88">
        <v>0</v>
      </c>
      <c r="G15" s="88">
        <v>0</v>
      </c>
      <c r="H15" s="87">
        <v>1</v>
      </c>
      <c r="I15" s="87">
        <v>1</v>
      </c>
      <c r="J15" s="87">
        <v>1</v>
      </c>
      <c r="K15" s="87">
        <v>1</v>
      </c>
      <c r="L15" s="88">
        <v>0</v>
      </c>
      <c r="M15" s="88">
        <v>0</v>
      </c>
      <c r="N15" s="88">
        <v>0</v>
      </c>
      <c r="O15" s="88">
        <v>0</v>
      </c>
    </row>
    <row r="16" spans="1:15" ht="15.75" customHeight="1" x14ac:dyDescent="0.25">
      <c r="A16" s="4"/>
      <c r="B16" s="11" t="s">
        <v>187</v>
      </c>
      <c r="C16" s="88">
        <v>0</v>
      </c>
      <c r="D16" s="88">
        <v>0</v>
      </c>
      <c r="E16" s="88">
        <v>0</v>
      </c>
      <c r="F16" s="88">
        <v>0</v>
      </c>
      <c r="G16" s="88">
        <v>0</v>
      </c>
      <c r="H16" s="87">
        <f xml:space="preserve"> 1</f>
        <v>1</v>
      </c>
      <c r="I16" s="87">
        <f xml:space="preserve"> 1</f>
        <v>1</v>
      </c>
      <c r="J16" s="87">
        <f xml:space="preserve"> 1</f>
        <v>1</v>
      </c>
      <c r="K16" s="87">
        <f xml:space="preserve"> 1</f>
        <v>1</v>
      </c>
      <c r="L16" s="88">
        <v>0</v>
      </c>
      <c r="M16" s="88">
        <v>0</v>
      </c>
      <c r="N16" s="88">
        <v>0</v>
      </c>
      <c r="O16" s="88">
        <v>0</v>
      </c>
    </row>
    <row r="17" spans="1:15" ht="15.75" customHeight="1" x14ac:dyDescent="0.25">
      <c r="A17" s="4"/>
      <c r="B17" s="11" t="s">
        <v>207</v>
      </c>
      <c r="C17" s="88">
        <v>0</v>
      </c>
      <c r="D17" s="88">
        <v>0</v>
      </c>
      <c r="E17" s="88">
        <v>0</v>
      </c>
      <c r="F17" s="88">
        <v>0</v>
      </c>
      <c r="G17" s="88">
        <v>0</v>
      </c>
      <c r="H17" s="87">
        <f>frac_PW_health_facility</f>
        <v>0.38500000000000001</v>
      </c>
      <c r="I17" s="87">
        <f>frac_PW_health_facility</f>
        <v>0.38500000000000001</v>
      </c>
      <c r="J17" s="87">
        <f>frac_PW_health_facility</f>
        <v>0.38500000000000001</v>
      </c>
      <c r="K17" s="87">
        <f>frac_PW_health_facility</f>
        <v>0.38500000000000001</v>
      </c>
      <c r="L17" s="88">
        <v>0</v>
      </c>
      <c r="M17" s="88">
        <v>0</v>
      </c>
      <c r="N17" s="88">
        <v>0</v>
      </c>
      <c r="O17" s="88">
        <v>0</v>
      </c>
    </row>
    <row r="18" spans="1:15" ht="15" customHeight="1" x14ac:dyDescent="0.25">
      <c r="B18" s="33" t="s">
        <v>57</v>
      </c>
      <c r="C18" s="88">
        <v>0</v>
      </c>
      <c r="D18" s="88">
        <v>0</v>
      </c>
      <c r="E18" s="88">
        <v>0</v>
      </c>
      <c r="F18" s="88">
        <v>0</v>
      </c>
      <c r="G18" s="88">
        <v>0</v>
      </c>
      <c r="H18" s="87">
        <f>frac_malaria_risk</f>
        <v>0.89</v>
      </c>
      <c r="I18" s="87">
        <f>frac_malaria_risk</f>
        <v>0.89</v>
      </c>
      <c r="J18" s="87">
        <f>frac_malaria_risk</f>
        <v>0.89</v>
      </c>
      <c r="K18" s="87">
        <f>frac_malaria_risk</f>
        <v>0.89</v>
      </c>
      <c r="L18" s="88">
        <v>0</v>
      </c>
      <c r="M18" s="88">
        <v>0</v>
      </c>
      <c r="N18" s="88">
        <v>0</v>
      </c>
      <c r="O18" s="88">
        <v>0</v>
      </c>
    </row>
    <row r="19" spans="1:15" ht="15.75" customHeight="1" x14ac:dyDescent="0.25">
      <c r="B19" s="11" t="s">
        <v>88</v>
      </c>
      <c r="C19" s="88">
        <v>0</v>
      </c>
      <c r="D19" s="88">
        <v>0</v>
      </c>
      <c r="E19" s="88">
        <v>0</v>
      </c>
      <c r="F19" s="88">
        <v>0</v>
      </c>
      <c r="G19" s="88">
        <v>0</v>
      </c>
      <c r="H19" s="87">
        <v>1</v>
      </c>
      <c r="I19" s="87">
        <v>1</v>
      </c>
      <c r="J19" s="87">
        <v>1</v>
      </c>
      <c r="K19" s="87">
        <v>1</v>
      </c>
      <c r="L19" s="88">
        <v>0</v>
      </c>
      <c r="M19" s="88">
        <v>0</v>
      </c>
      <c r="N19" s="88">
        <v>0</v>
      </c>
      <c r="O19" s="88">
        <v>0</v>
      </c>
    </row>
    <row r="20" spans="1:15" ht="15.75" customHeight="1" x14ac:dyDescent="0.25">
      <c r="B20" s="11" t="s">
        <v>87</v>
      </c>
      <c r="C20" s="88">
        <v>0</v>
      </c>
      <c r="D20" s="88">
        <v>0</v>
      </c>
      <c r="E20" s="88">
        <v>0</v>
      </c>
      <c r="F20" s="88">
        <v>0</v>
      </c>
      <c r="G20" s="88">
        <v>0</v>
      </c>
      <c r="H20" s="87">
        <v>1</v>
      </c>
      <c r="I20" s="87">
        <v>1</v>
      </c>
      <c r="J20" s="87">
        <v>1</v>
      </c>
      <c r="K20" s="87">
        <v>1</v>
      </c>
      <c r="L20" s="88">
        <v>0</v>
      </c>
      <c r="M20" s="88">
        <v>0</v>
      </c>
      <c r="N20" s="88">
        <v>0</v>
      </c>
      <c r="O20" s="88">
        <v>0</v>
      </c>
    </row>
    <row r="21" spans="1:15" ht="15.75" customHeight="1" x14ac:dyDescent="0.25">
      <c r="B21" s="33" t="s">
        <v>59</v>
      </c>
      <c r="C21" s="88">
        <v>0</v>
      </c>
      <c r="D21" s="88">
        <v>0</v>
      </c>
      <c r="E21" s="88">
        <v>0</v>
      </c>
      <c r="F21" s="88">
        <v>0</v>
      </c>
      <c r="G21" s="88">
        <v>0</v>
      </c>
      <c r="H21" s="87">
        <f>1</f>
        <v>1</v>
      </c>
      <c r="I21" s="87">
        <f>1</f>
        <v>1</v>
      </c>
      <c r="J21" s="87">
        <f>1</f>
        <v>1</v>
      </c>
      <c r="K21" s="87">
        <f>1</f>
        <v>1</v>
      </c>
      <c r="L21" s="88">
        <v>0</v>
      </c>
      <c r="M21" s="88">
        <v>0</v>
      </c>
      <c r="N21" s="88">
        <v>0</v>
      </c>
      <c r="O21" s="88">
        <v>0</v>
      </c>
    </row>
    <row r="22" spans="1:15" ht="15.75" customHeight="1" x14ac:dyDescent="0.25">
      <c r="B22" s="33"/>
    </row>
    <row r="23" spans="1:15" ht="15.75" customHeight="1" x14ac:dyDescent="0.25">
      <c r="A23" s="58" t="s">
        <v>37</v>
      </c>
      <c r="B23" s="59" t="s">
        <v>197</v>
      </c>
      <c r="C23" s="88">
        <v>0</v>
      </c>
      <c r="D23" s="88">
        <v>0</v>
      </c>
      <c r="E23" s="88">
        <v>0</v>
      </c>
      <c r="F23" s="88">
        <v>0</v>
      </c>
      <c r="G23" s="88">
        <v>0</v>
      </c>
      <c r="H23" s="88">
        <v>0</v>
      </c>
      <c r="I23" s="88">
        <v>0</v>
      </c>
      <c r="J23" s="88">
        <v>0</v>
      </c>
      <c r="K23" s="88">
        <v>0</v>
      </c>
      <c r="L23" s="87">
        <f>famplan_unmet_need</f>
        <v>0.54600000000000004</v>
      </c>
      <c r="M23" s="87">
        <f>famplan_unmet_need</f>
        <v>0.54600000000000004</v>
      </c>
      <c r="N23" s="87">
        <f>famplan_unmet_need</f>
        <v>0.54600000000000004</v>
      </c>
      <c r="O23" s="87">
        <f>famplan_unmet_need</f>
        <v>0.54600000000000004</v>
      </c>
    </row>
    <row r="24" spans="1:15" ht="15.75" customHeight="1" x14ac:dyDescent="0.25">
      <c r="B24" s="59" t="s">
        <v>188</v>
      </c>
      <c r="C24" s="88">
        <v>0</v>
      </c>
      <c r="D24" s="88">
        <v>0</v>
      </c>
      <c r="E24" s="88">
        <v>0</v>
      </c>
      <c r="F24" s="88">
        <v>0</v>
      </c>
      <c r="G24" s="88">
        <v>0</v>
      </c>
      <c r="H24" s="88">
        <v>0</v>
      </c>
      <c r="I24" s="88">
        <v>0</v>
      </c>
      <c r="J24" s="88">
        <v>0</v>
      </c>
      <c r="K24" s="88">
        <v>0</v>
      </c>
      <c r="L24" s="87">
        <f>(1-food_insecure)*(0.49)*(1-school_attendance) + food_insecure*(0.7)*(1-school_attendance)</f>
        <v>0.48364859884357425</v>
      </c>
      <c r="M24" s="87">
        <f>(1-food_insecure)*(0.49)+food_insecure*(0.7)</f>
        <v>0.58345000000000002</v>
      </c>
      <c r="N24" s="87">
        <f>(1-food_insecure)*(0.49)+food_insecure*(0.7)</f>
        <v>0.58345000000000002</v>
      </c>
      <c r="O24" s="87">
        <f>(1-food_insecure)*(0.49)+food_insecure*(0.7)</f>
        <v>0.58345000000000002</v>
      </c>
    </row>
    <row r="25" spans="1:15" ht="15.75" customHeight="1" x14ac:dyDescent="0.25">
      <c r="B25" s="59" t="s">
        <v>206</v>
      </c>
      <c r="C25" s="88">
        <v>0</v>
      </c>
      <c r="D25" s="88">
        <v>0</v>
      </c>
      <c r="E25" s="88">
        <v>0</v>
      </c>
      <c r="F25" s="88">
        <v>0</v>
      </c>
      <c r="G25" s="88">
        <v>0</v>
      </c>
      <c r="H25" s="88">
        <v>0</v>
      </c>
      <c r="I25" s="88">
        <v>0</v>
      </c>
      <c r="J25" s="88">
        <v>0</v>
      </c>
      <c r="K25" s="88">
        <v>0</v>
      </c>
      <c r="L25" s="87">
        <f>(1-food_insecure)*(0.21)*(1-school_attendance) + food_insecure*(0.3)*(1-school_attendance)</f>
        <v>0.20727797093296041</v>
      </c>
      <c r="M25" s="87">
        <f>(1-food_insecure)*(0.21)+food_insecure*(0.3)</f>
        <v>0.25004999999999999</v>
      </c>
      <c r="N25" s="87">
        <f>(1-food_insecure)*(0.21)+food_insecure*(0.3)</f>
        <v>0.25004999999999999</v>
      </c>
      <c r="O25" s="87">
        <f>(1-food_insecure)*(0.21)+food_insecure*(0.3)</f>
        <v>0.25004999999999999</v>
      </c>
    </row>
    <row r="26" spans="1:15" ht="15.75" customHeight="1" x14ac:dyDescent="0.25">
      <c r="B26" s="59" t="s">
        <v>189</v>
      </c>
      <c r="C26" s="88">
        <v>0</v>
      </c>
      <c r="D26" s="88">
        <v>0</v>
      </c>
      <c r="E26" s="88">
        <v>0</v>
      </c>
      <c r="F26" s="88">
        <v>0</v>
      </c>
      <c r="G26" s="88">
        <v>0</v>
      </c>
      <c r="H26" s="88">
        <v>0</v>
      </c>
      <c r="I26" s="88">
        <v>0</v>
      </c>
      <c r="J26" s="88">
        <v>0</v>
      </c>
      <c r="K26" s="88">
        <v>0</v>
      </c>
      <c r="L26" s="87">
        <f>(1-food_insecure)*(0.3)*(1-school_attendance)</f>
        <v>0.13801952473640433</v>
      </c>
      <c r="M26" s="87">
        <f>(1-food_insecure)*(0.3)</f>
        <v>0.16649999999999998</v>
      </c>
      <c r="N26" s="87">
        <f>(1-food_insecure)*(0.3)</f>
        <v>0.16649999999999998</v>
      </c>
      <c r="O26" s="87">
        <f>(1-food_insecure)*(0.3)</f>
        <v>0.16649999999999998</v>
      </c>
    </row>
    <row r="27" spans="1:15" ht="15.75" customHeight="1" x14ac:dyDescent="0.25">
      <c r="B27" s="59" t="s">
        <v>190</v>
      </c>
      <c r="C27" s="88">
        <v>0</v>
      </c>
      <c r="D27" s="88">
        <v>0</v>
      </c>
      <c r="E27" s="88">
        <v>0</v>
      </c>
      <c r="F27" s="88">
        <v>0</v>
      </c>
      <c r="G27" s="88">
        <v>0</v>
      </c>
      <c r="H27" s="88">
        <v>0</v>
      </c>
      <c r="I27" s="88">
        <v>0</v>
      </c>
      <c r="J27" s="88">
        <v>0</v>
      </c>
      <c r="K27" s="88">
        <v>0</v>
      </c>
      <c r="L27" s="87">
        <f>(1-food_insecure)*1*school_attendance + food_insecure*1*school_attendance</f>
        <v>0.17105390548706101</v>
      </c>
      <c r="M27" s="87">
        <v>0</v>
      </c>
      <c r="N27" s="87">
        <v>0</v>
      </c>
      <c r="O27" s="87">
        <v>0</v>
      </c>
    </row>
    <row r="28" spans="1:15" ht="15.75" customHeight="1" x14ac:dyDescent="0.25">
      <c r="B28" s="11"/>
      <c r="C28" s="2"/>
      <c r="D28" s="2"/>
      <c r="E28" s="10"/>
      <c r="F28" s="10"/>
      <c r="G28" s="10"/>
      <c r="H28" s="10"/>
      <c r="I28" s="10"/>
    </row>
    <row r="29" spans="1:15" ht="15.75" customHeight="1" x14ac:dyDescent="0.25">
      <c r="A29" s="4" t="s">
        <v>35</v>
      </c>
      <c r="B29" s="11" t="s">
        <v>63</v>
      </c>
      <c r="C29" s="87">
        <v>0</v>
      </c>
      <c r="D29" s="87">
        <v>0</v>
      </c>
      <c r="E29" s="87">
        <f t="shared" ref="E29:O29" si="0">frac_maize</f>
        <v>0.99</v>
      </c>
      <c r="F29" s="87">
        <f t="shared" si="0"/>
        <v>0.99</v>
      </c>
      <c r="G29" s="87">
        <f t="shared" si="0"/>
        <v>0.99</v>
      </c>
      <c r="H29" s="87">
        <f t="shared" si="0"/>
        <v>0.99</v>
      </c>
      <c r="I29" s="87">
        <f t="shared" si="0"/>
        <v>0.99</v>
      </c>
      <c r="J29" s="87">
        <f t="shared" si="0"/>
        <v>0.99</v>
      </c>
      <c r="K29" s="87">
        <f t="shared" si="0"/>
        <v>0.99</v>
      </c>
      <c r="L29" s="87">
        <f t="shared" si="0"/>
        <v>0.99</v>
      </c>
      <c r="M29" s="87">
        <f t="shared" si="0"/>
        <v>0.99</v>
      </c>
      <c r="N29" s="87">
        <f t="shared" si="0"/>
        <v>0.99</v>
      </c>
      <c r="O29" s="87">
        <f t="shared" si="0"/>
        <v>0.99</v>
      </c>
    </row>
    <row r="30" spans="1:15" ht="15.75" customHeight="1" x14ac:dyDescent="0.25">
      <c r="B30" s="11" t="s">
        <v>64</v>
      </c>
      <c r="C30" s="87">
        <v>0</v>
      </c>
      <c r="D30" s="87">
        <v>0</v>
      </c>
      <c r="E30" s="87">
        <f t="shared" ref="E30:O30" si="1">frac_rice</f>
        <v>5.0000000000000001E-3</v>
      </c>
      <c r="F30" s="87">
        <f t="shared" si="1"/>
        <v>5.0000000000000001E-3</v>
      </c>
      <c r="G30" s="87">
        <f t="shared" si="1"/>
        <v>5.0000000000000001E-3</v>
      </c>
      <c r="H30" s="87">
        <f t="shared" si="1"/>
        <v>5.0000000000000001E-3</v>
      </c>
      <c r="I30" s="87">
        <f t="shared" si="1"/>
        <v>5.0000000000000001E-3</v>
      </c>
      <c r="J30" s="87">
        <f t="shared" si="1"/>
        <v>5.0000000000000001E-3</v>
      </c>
      <c r="K30" s="87">
        <f t="shared" si="1"/>
        <v>5.0000000000000001E-3</v>
      </c>
      <c r="L30" s="87">
        <f t="shared" si="1"/>
        <v>5.0000000000000001E-3</v>
      </c>
      <c r="M30" s="87">
        <f t="shared" si="1"/>
        <v>5.0000000000000001E-3</v>
      </c>
      <c r="N30" s="87">
        <f t="shared" si="1"/>
        <v>5.0000000000000001E-3</v>
      </c>
      <c r="O30" s="87">
        <f t="shared" si="1"/>
        <v>5.0000000000000001E-3</v>
      </c>
    </row>
    <row r="31" spans="1:15" ht="15.75" customHeight="1" x14ac:dyDescent="0.25">
      <c r="B31" s="11" t="s">
        <v>62</v>
      </c>
      <c r="C31" s="87">
        <v>0</v>
      </c>
      <c r="D31" s="87">
        <v>0</v>
      </c>
      <c r="E31" s="87">
        <f>frac_wheat</f>
        <v>5.0000000000000001E-3</v>
      </c>
      <c r="F31" s="87">
        <f t="shared" ref="F31:O31" si="2">frac_wheat</f>
        <v>5.0000000000000001E-3</v>
      </c>
      <c r="G31" s="87">
        <f t="shared" si="2"/>
        <v>5.0000000000000001E-3</v>
      </c>
      <c r="H31" s="87">
        <f t="shared" si="2"/>
        <v>5.0000000000000001E-3</v>
      </c>
      <c r="I31" s="87">
        <f t="shared" si="2"/>
        <v>5.0000000000000001E-3</v>
      </c>
      <c r="J31" s="87">
        <f t="shared" si="2"/>
        <v>5.0000000000000001E-3</v>
      </c>
      <c r="K31" s="87">
        <f t="shared" si="2"/>
        <v>5.0000000000000001E-3</v>
      </c>
      <c r="L31" s="87">
        <f t="shared" si="2"/>
        <v>5.0000000000000001E-3</v>
      </c>
      <c r="M31" s="87">
        <f t="shared" si="2"/>
        <v>5.0000000000000001E-3</v>
      </c>
      <c r="N31" s="87">
        <f t="shared" si="2"/>
        <v>5.0000000000000001E-3</v>
      </c>
      <c r="O31" s="87">
        <f t="shared" si="2"/>
        <v>5.0000000000000001E-3</v>
      </c>
    </row>
    <row r="32" spans="1:15" ht="15.75" customHeight="1" x14ac:dyDescent="0.25">
      <c r="B32" s="11" t="s">
        <v>47</v>
      </c>
      <c r="C32" s="87">
        <v>0</v>
      </c>
      <c r="D32" s="87">
        <v>0</v>
      </c>
      <c r="E32" s="87">
        <v>1</v>
      </c>
      <c r="F32" s="87">
        <v>1</v>
      </c>
      <c r="G32" s="87">
        <v>1</v>
      </c>
      <c r="H32" s="87">
        <v>1</v>
      </c>
      <c r="I32" s="87">
        <v>1</v>
      </c>
      <c r="J32" s="87">
        <v>1</v>
      </c>
      <c r="K32" s="87">
        <v>1</v>
      </c>
      <c r="L32" s="87">
        <v>1</v>
      </c>
      <c r="M32" s="87">
        <v>1</v>
      </c>
      <c r="N32" s="87">
        <v>1</v>
      </c>
      <c r="O32" s="87">
        <v>1</v>
      </c>
    </row>
    <row r="33" spans="1:15" ht="15.75" customHeight="1" x14ac:dyDescent="0.25">
      <c r="B33" s="11" t="s">
        <v>34</v>
      </c>
      <c r="C33" s="87">
        <f t="shared" ref="C33:O33" si="3">frac_malaria_risk</f>
        <v>0.89</v>
      </c>
      <c r="D33" s="87">
        <f t="shared" si="3"/>
        <v>0.89</v>
      </c>
      <c r="E33" s="87">
        <f t="shared" si="3"/>
        <v>0.89</v>
      </c>
      <c r="F33" s="87">
        <f t="shared" si="3"/>
        <v>0.89</v>
      </c>
      <c r="G33" s="87">
        <f t="shared" si="3"/>
        <v>0.89</v>
      </c>
      <c r="H33" s="87">
        <f t="shared" si="3"/>
        <v>0.89</v>
      </c>
      <c r="I33" s="87">
        <f t="shared" si="3"/>
        <v>0.89</v>
      </c>
      <c r="J33" s="87">
        <f t="shared" si="3"/>
        <v>0.89</v>
      </c>
      <c r="K33" s="87">
        <f t="shared" si="3"/>
        <v>0.89</v>
      </c>
      <c r="L33" s="87">
        <f t="shared" si="3"/>
        <v>0.89</v>
      </c>
      <c r="M33" s="87">
        <f t="shared" si="3"/>
        <v>0.89</v>
      </c>
      <c r="N33" s="87">
        <f t="shared" si="3"/>
        <v>0.89</v>
      </c>
      <c r="O33" s="87">
        <f t="shared" si="3"/>
        <v>0.89</v>
      </c>
    </row>
    <row r="34" spans="1:15" ht="15.75" customHeight="1" x14ac:dyDescent="0.25">
      <c r="B34" s="33" t="s">
        <v>83</v>
      </c>
      <c r="C34" s="87">
        <v>1</v>
      </c>
      <c r="D34" s="87">
        <v>1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A35" s="5"/>
      <c r="B35" s="33" t="s">
        <v>82</v>
      </c>
      <c r="C35" s="87">
        <v>1</v>
      </c>
      <c r="D35" s="87">
        <v>1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s="5" customFormat="1" ht="15.75" customHeight="1" x14ac:dyDescent="0.25">
      <c r="B36" s="33" t="s">
        <v>81</v>
      </c>
      <c r="C36" s="87">
        <v>1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s="5" customFormat="1" ht="15.75" customHeight="1" x14ac:dyDescent="0.25">
      <c r="B37" s="33" t="s">
        <v>79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s="5" customFormat="1" ht="15.75" customHeight="1" x14ac:dyDescent="0.25">
      <c r="B38" s="33" t="s">
        <v>80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33"/>
    </row>
  </sheetData>
  <sheetProtection algorithmName="SHA-512" hashValue="8AA2I9UZPCvjoGOxL0MMyqqXoHDNS7n4JtfrsQRho74JNJJKUigxuy0/aEjLs4m9INQV0OZqejhY0qqpkSRx4A==" saltValue="BKXFXqwFrNK8M/n7gCZbMQ==" spinCount="100000" sheet="1" scenarios="1" selectLockedCells="1"/>
  <sortState xmlns:xlrd2="http://schemas.microsoft.com/office/spreadsheetml/2017/richdata2" ref="B14:O21">
    <sortCondition ref="B14:B21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A4"/>
  <sheetViews>
    <sheetView workbookViewId="0"/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E11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P41"/>
  <sheetViews>
    <sheetView topLeftCell="B9" workbookViewId="0">
      <selection activeCell="F8" sqref="F8"/>
    </sheetView>
  </sheetViews>
  <sheetFormatPr defaultColWidth="16.109375" defaultRowHeight="15.75" customHeight="1" x14ac:dyDescent="0.3"/>
  <cols>
    <col min="1" max="1" width="22.21875" style="55" bestFit="1" customWidth="1"/>
    <col min="2" max="2" width="58.88671875" style="55" bestFit="1" customWidth="1"/>
    <col min="3" max="3" width="9.44140625" style="55" bestFit="1" customWidth="1"/>
    <col min="4" max="4" width="11.109375" style="55" bestFit="1" customWidth="1"/>
    <col min="5" max="5" width="12" style="55" bestFit="1" customWidth="1"/>
    <col min="6" max="7" width="13.109375" style="55" bestFit="1" customWidth="1"/>
    <col min="8" max="11" width="15.33203125" style="55" bestFit="1" customWidth="1"/>
    <col min="12" max="15" width="16.88671875" style="55" bestFit="1" customWidth="1"/>
    <col min="16" max="16384" width="16.109375" style="55"/>
  </cols>
  <sheetData>
    <row r="1" spans="1:15" ht="15.75" customHeight="1" x14ac:dyDescent="0.3">
      <c r="A1" s="56" t="s">
        <v>33</v>
      </c>
      <c r="B1" s="89" t="s">
        <v>69</v>
      </c>
      <c r="C1" s="56" t="s">
        <v>1</v>
      </c>
      <c r="D1" s="56" t="s">
        <v>2</v>
      </c>
      <c r="E1" s="56" t="s">
        <v>3</v>
      </c>
      <c r="F1" s="56" t="s">
        <v>4</v>
      </c>
      <c r="G1" s="56" t="s">
        <v>5</v>
      </c>
      <c r="H1" s="56" t="s">
        <v>53</v>
      </c>
      <c r="I1" s="56" t="s">
        <v>54</v>
      </c>
      <c r="J1" s="56" t="s">
        <v>55</v>
      </c>
      <c r="K1" s="56" t="s">
        <v>56</v>
      </c>
      <c r="L1" s="56" t="s">
        <v>49</v>
      </c>
      <c r="M1" s="56" t="s">
        <v>50</v>
      </c>
      <c r="N1" s="56" t="s">
        <v>51</v>
      </c>
      <c r="O1" s="56" t="s">
        <v>52</v>
      </c>
    </row>
    <row r="2" spans="1:15" ht="15.75" customHeight="1" x14ac:dyDescent="0.3">
      <c r="A2" s="56" t="s">
        <v>31</v>
      </c>
      <c r="B2" s="52" t="s">
        <v>61</v>
      </c>
      <c r="C2" s="133">
        <v>0</v>
      </c>
      <c r="D2" s="133">
        <v>1</v>
      </c>
      <c r="E2" s="133">
        <v>1</v>
      </c>
      <c r="F2" s="133">
        <v>1</v>
      </c>
      <c r="G2" s="133">
        <v>1</v>
      </c>
      <c r="H2" s="133">
        <v>0</v>
      </c>
      <c r="I2" s="133">
        <v>0</v>
      </c>
      <c r="J2" s="133">
        <v>0</v>
      </c>
      <c r="K2" s="133">
        <v>0</v>
      </c>
      <c r="L2" s="133">
        <v>0</v>
      </c>
      <c r="M2" s="133">
        <v>0</v>
      </c>
      <c r="N2" s="133">
        <v>0</v>
      </c>
      <c r="O2" s="133">
        <v>0</v>
      </c>
    </row>
    <row r="3" spans="1:15" ht="15.75" customHeight="1" x14ac:dyDescent="0.3">
      <c r="B3" s="52" t="s">
        <v>149</v>
      </c>
      <c r="C3" s="133">
        <v>1</v>
      </c>
      <c r="D3" s="133">
        <v>1</v>
      </c>
      <c r="E3" s="133">
        <v>0</v>
      </c>
      <c r="F3" s="133">
        <v>0</v>
      </c>
      <c r="G3" s="133">
        <v>0</v>
      </c>
      <c r="H3" s="133">
        <v>0</v>
      </c>
      <c r="I3" s="133">
        <v>0</v>
      </c>
      <c r="J3" s="133">
        <v>0</v>
      </c>
      <c r="K3" s="133">
        <v>0</v>
      </c>
      <c r="L3" s="133">
        <v>0</v>
      </c>
      <c r="M3" s="133">
        <v>0</v>
      </c>
      <c r="N3" s="133">
        <v>0</v>
      </c>
      <c r="O3" s="133">
        <v>0</v>
      </c>
    </row>
    <row r="4" spans="1:15" ht="15.75" customHeight="1" x14ac:dyDescent="0.3">
      <c r="B4" s="52" t="s">
        <v>173</v>
      </c>
      <c r="C4" s="133">
        <v>1</v>
      </c>
      <c r="D4" s="133">
        <v>1</v>
      </c>
      <c r="E4" s="133">
        <v>1</v>
      </c>
      <c r="F4" s="133">
        <v>1</v>
      </c>
      <c r="G4" s="133">
        <v>1</v>
      </c>
      <c r="H4" s="133">
        <v>0</v>
      </c>
      <c r="I4" s="133">
        <v>0</v>
      </c>
      <c r="J4" s="133">
        <v>0</v>
      </c>
      <c r="K4" s="133">
        <v>0</v>
      </c>
      <c r="L4" s="133">
        <v>0</v>
      </c>
      <c r="M4" s="133">
        <v>0</v>
      </c>
      <c r="N4" s="133">
        <v>0</v>
      </c>
      <c r="O4" s="133">
        <v>0</v>
      </c>
    </row>
    <row r="5" spans="1:15" ht="15.75" customHeight="1" x14ac:dyDescent="0.3">
      <c r="B5" s="52" t="s">
        <v>198</v>
      </c>
      <c r="C5" s="133">
        <v>1</v>
      </c>
      <c r="D5" s="133">
        <v>1</v>
      </c>
      <c r="E5" s="133">
        <v>1</v>
      </c>
      <c r="F5" s="133">
        <v>1</v>
      </c>
      <c r="G5" s="133">
        <v>1</v>
      </c>
      <c r="H5" s="133">
        <v>0</v>
      </c>
      <c r="I5" s="133">
        <v>0</v>
      </c>
      <c r="J5" s="133">
        <v>0</v>
      </c>
      <c r="K5" s="133">
        <v>0</v>
      </c>
      <c r="L5" s="133">
        <v>0</v>
      </c>
      <c r="M5" s="133">
        <v>0</v>
      </c>
      <c r="N5" s="133">
        <v>0</v>
      </c>
      <c r="O5" s="133">
        <v>0</v>
      </c>
    </row>
    <row r="6" spans="1:15" ht="15.75" customHeight="1" x14ac:dyDescent="0.3">
      <c r="B6" s="52" t="s">
        <v>199</v>
      </c>
      <c r="C6" s="133">
        <v>1</v>
      </c>
      <c r="D6" s="133">
        <v>1</v>
      </c>
      <c r="E6" s="133">
        <v>1</v>
      </c>
      <c r="F6" s="133">
        <v>1</v>
      </c>
      <c r="G6" s="133">
        <v>1</v>
      </c>
      <c r="H6" s="133">
        <v>0</v>
      </c>
      <c r="I6" s="133">
        <v>0</v>
      </c>
      <c r="J6" s="133">
        <v>0</v>
      </c>
      <c r="K6" s="133">
        <v>0</v>
      </c>
      <c r="L6" s="133">
        <v>0</v>
      </c>
      <c r="M6" s="133">
        <v>0</v>
      </c>
      <c r="N6" s="133">
        <v>0</v>
      </c>
      <c r="O6" s="133">
        <v>0</v>
      </c>
    </row>
    <row r="7" spans="1:15" ht="15.75" customHeight="1" x14ac:dyDescent="0.3">
      <c r="B7" s="52" t="s">
        <v>195</v>
      </c>
      <c r="C7" s="133">
        <v>1</v>
      </c>
      <c r="D7" s="133">
        <v>1</v>
      </c>
      <c r="E7" s="133">
        <v>0</v>
      </c>
      <c r="F7" s="133">
        <v>0</v>
      </c>
      <c r="G7" s="133">
        <v>0</v>
      </c>
      <c r="H7" s="133">
        <v>0</v>
      </c>
      <c r="I7" s="133">
        <v>0</v>
      </c>
      <c r="J7" s="133">
        <v>0</v>
      </c>
      <c r="K7" s="133">
        <v>0</v>
      </c>
      <c r="L7" s="133">
        <v>0</v>
      </c>
      <c r="M7" s="133">
        <v>0</v>
      </c>
      <c r="N7" s="133">
        <v>0</v>
      </c>
      <c r="O7" s="133">
        <v>0</v>
      </c>
    </row>
    <row r="8" spans="1:15" ht="15.75" customHeight="1" x14ac:dyDescent="0.3">
      <c r="B8" s="52" t="s">
        <v>136</v>
      </c>
      <c r="C8" s="133">
        <v>0</v>
      </c>
      <c r="D8" s="133">
        <v>0</v>
      </c>
      <c r="E8" s="133">
        <v>1</v>
      </c>
      <c r="F8" s="133">
        <v>1</v>
      </c>
      <c r="G8" s="133">
        <v>0</v>
      </c>
      <c r="H8" s="133">
        <v>0</v>
      </c>
      <c r="I8" s="133">
        <v>0</v>
      </c>
      <c r="J8" s="133">
        <v>0</v>
      </c>
      <c r="K8" s="133">
        <v>0</v>
      </c>
      <c r="L8" s="133">
        <v>0</v>
      </c>
      <c r="M8" s="133">
        <v>0</v>
      </c>
      <c r="N8" s="133">
        <v>0</v>
      </c>
      <c r="O8" s="133">
        <v>0</v>
      </c>
    </row>
    <row r="9" spans="1:15" ht="15.75" customHeight="1" x14ac:dyDescent="0.3">
      <c r="B9" s="52" t="s">
        <v>137</v>
      </c>
      <c r="C9" s="133">
        <v>0</v>
      </c>
      <c r="D9" s="133">
        <v>0</v>
      </c>
      <c r="E9" s="133">
        <v>1</v>
      </c>
      <c r="F9" s="133">
        <v>1</v>
      </c>
      <c r="G9" s="133">
        <v>1</v>
      </c>
      <c r="H9" s="133">
        <v>0</v>
      </c>
      <c r="I9" s="133">
        <v>0</v>
      </c>
      <c r="J9" s="133">
        <v>0</v>
      </c>
      <c r="K9" s="133">
        <v>0</v>
      </c>
      <c r="L9" s="133">
        <v>0</v>
      </c>
      <c r="M9" s="133">
        <v>0</v>
      </c>
      <c r="N9" s="133">
        <v>0</v>
      </c>
      <c r="O9" s="133">
        <v>0</v>
      </c>
    </row>
    <row r="10" spans="1:15" ht="15.75" customHeight="1" x14ac:dyDescent="0.3">
      <c r="B10" s="52" t="s">
        <v>84</v>
      </c>
      <c r="C10" s="133">
        <v>1</v>
      </c>
      <c r="D10" s="133">
        <v>1</v>
      </c>
      <c r="E10" s="133">
        <v>1</v>
      </c>
      <c r="F10" s="133">
        <v>1</v>
      </c>
      <c r="G10" s="133">
        <v>1</v>
      </c>
      <c r="H10" s="133">
        <v>0</v>
      </c>
      <c r="I10" s="133">
        <v>0</v>
      </c>
      <c r="J10" s="133">
        <v>0</v>
      </c>
      <c r="K10" s="133">
        <v>0</v>
      </c>
      <c r="L10" s="133">
        <v>0</v>
      </c>
      <c r="M10" s="133">
        <v>0</v>
      </c>
      <c r="N10" s="133">
        <v>0</v>
      </c>
      <c r="O10" s="133">
        <v>0</v>
      </c>
    </row>
    <row r="11" spans="1:15" ht="15.75" customHeight="1" x14ac:dyDescent="0.3">
      <c r="B11" s="52" t="s">
        <v>58</v>
      </c>
      <c r="C11" s="133">
        <v>0</v>
      </c>
      <c r="D11" s="133">
        <v>0</v>
      </c>
      <c r="E11" s="133">
        <v>1</v>
      </c>
      <c r="F11" s="133">
        <v>1</v>
      </c>
      <c r="G11" s="133">
        <v>0</v>
      </c>
      <c r="H11" s="133">
        <v>0</v>
      </c>
      <c r="I11" s="133">
        <v>0</v>
      </c>
      <c r="J11" s="133">
        <v>0</v>
      </c>
      <c r="K11" s="133">
        <v>0</v>
      </c>
      <c r="L11" s="133">
        <v>0</v>
      </c>
      <c r="M11" s="133">
        <v>0</v>
      </c>
      <c r="N11" s="133">
        <v>0</v>
      </c>
      <c r="O11" s="133">
        <v>0</v>
      </c>
    </row>
    <row r="12" spans="1:15" ht="15.75" customHeight="1" x14ac:dyDescent="0.3">
      <c r="B12" s="52" t="s">
        <v>67</v>
      </c>
      <c r="C12" s="133">
        <v>0</v>
      </c>
      <c r="D12" s="133">
        <v>1</v>
      </c>
      <c r="E12" s="133">
        <v>1</v>
      </c>
      <c r="F12" s="133">
        <v>1</v>
      </c>
      <c r="G12" s="133">
        <v>1</v>
      </c>
      <c r="H12" s="133">
        <v>0</v>
      </c>
      <c r="I12" s="133">
        <v>0</v>
      </c>
      <c r="J12" s="133">
        <v>0</v>
      </c>
      <c r="K12" s="133">
        <v>0</v>
      </c>
      <c r="L12" s="133">
        <v>0</v>
      </c>
      <c r="M12" s="133">
        <v>0</v>
      </c>
      <c r="N12" s="133">
        <v>0</v>
      </c>
      <c r="O12" s="133">
        <v>0</v>
      </c>
    </row>
    <row r="13" spans="1:15" ht="15.75" customHeight="1" x14ac:dyDescent="0.3">
      <c r="B13" s="52" t="s">
        <v>28</v>
      </c>
      <c r="C13" s="133">
        <v>0</v>
      </c>
      <c r="D13" s="133">
        <v>0</v>
      </c>
      <c r="E13" s="133">
        <v>1</v>
      </c>
      <c r="F13" s="133">
        <v>1</v>
      </c>
      <c r="G13" s="133">
        <v>1</v>
      </c>
      <c r="H13" s="133">
        <v>0</v>
      </c>
      <c r="I13" s="133">
        <v>0</v>
      </c>
      <c r="J13" s="133">
        <v>0</v>
      </c>
      <c r="K13" s="133">
        <v>0</v>
      </c>
      <c r="L13" s="133">
        <v>0</v>
      </c>
      <c r="M13" s="133">
        <v>0</v>
      </c>
      <c r="N13" s="133">
        <v>0</v>
      </c>
      <c r="O13" s="133">
        <v>0</v>
      </c>
    </row>
    <row r="14" spans="1:15" ht="15.75" customHeight="1" x14ac:dyDescent="0.3">
      <c r="B14" s="52" t="s">
        <v>85</v>
      </c>
      <c r="C14" s="133">
        <v>1</v>
      </c>
      <c r="D14" s="133">
        <v>1</v>
      </c>
      <c r="E14" s="133">
        <v>1</v>
      </c>
      <c r="F14" s="133">
        <v>1</v>
      </c>
      <c r="G14" s="133">
        <v>1</v>
      </c>
      <c r="H14" s="133">
        <v>0</v>
      </c>
      <c r="I14" s="133">
        <v>0</v>
      </c>
      <c r="J14" s="133">
        <v>0</v>
      </c>
      <c r="K14" s="133">
        <v>0</v>
      </c>
      <c r="L14" s="133">
        <v>0</v>
      </c>
      <c r="M14" s="133">
        <v>0</v>
      </c>
      <c r="N14" s="133">
        <v>0</v>
      </c>
      <c r="O14" s="133">
        <v>0</v>
      </c>
    </row>
    <row r="15" spans="1:15" ht="15.75" customHeight="1" x14ac:dyDescent="0.3">
      <c r="B15" s="52" t="s">
        <v>60</v>
      </c>
      <c r="C15" s="133">
        <v>0</v>
      </c>
      <c r="D15" s="133">
        <v>0</v>
      </c>
      <c r="E15" s="133">
        <v>1</v>
      </c>
      <c r="F15" s="133">
        <v>1</v>
      </c>
      <c r="G15" s="133">
        <v>1</v>
      </c>
      <c r="H15" s="133">
        <v>0</v>
      </c>
      <c r="I15" s="133">
        <v>0</v>
      </c>
      <c r="J15" s="133">
        <v>0</v>
      </c>
      <c r="K15" s="133">
        <v>0</v>
      </c>
      <c r="L15" s="133">
        <v>0</v>
      </c>
      <c r="M15" s="133">
        <v>0</v>
      </c>
      <c r="N15" s="133">
        <v>0</v>
      </c>
      <c r="O15" s="133">
        <v>0</v>
      </c>
    </row>
    <row r="16" spans="1:15" ht="15.75" customHeight="1" x14ac:dyDescent="0.3">
      <c r="B16" s="52"/>
      <c r="C16" s="129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29"/>
      <c r="O16" s="129"/>
    </row>
    <row r="17" spans="1:16" ht="15.75" customHeight="1" x14ac:dyDescent="0.3">
      <c r="A17" s="56" t="s">
        <v>32</v>
      </c>
      <c r="B17" s="52" t="s">
        <v>29</v>
      </c>
      <c r="C17" s="133">
        <v>0</v>
      </c>
      <c r="D17" s="133">
        <v>0</v>
      </c>
      <c r="E17" s="133">
        <v>0</v>
      </c>
      <c r="F17" s="133">
        <v>0</v>
      </c>
      <c r="G17" s="133">
        <v>0</v>
      </c>
      <c r="H17" s="133">
        <v>1</v>
      </c>
      <c r="I17" s="133">
        <v>1</v>
      </c>
      <c r="J17" s="133">
        <v>1</v>
      </c>
      <c r="K17" s="133">
        <v>1</v>
      </c>
      <c r="L17" s="133">
        <v>0</v>
      </c>
      <c r="M17" s="133">
        <v>0</v>
      </c>
      <c r="N17" s="133">
        <v>0</v>
      </c>
      <c r="O17" s="133">
        <v>0</v>
      </c>
    </row>
    <row r="18" spans="1:16" ht="15.75" customHeight="1" x14ac:dyDescent="0.3">
      <c r="A18" s="56"/>
      <c r="B18" s="52" t="s">
        <v>86</v>
      </c>
      <c r="C18" s="133">
        <v>0</v>
      </c>
      <c r="D18" s="133">
        <v>0</v>
      </c>
      <c r="E18" s="133">
        <v>0</v>
      </c>
      <c r="F18" s="133">
        <v>0</v>
      </c>
      <c r="G18" s="133">
        <v>0</v>
      </c>
      <c r="H18" s="133">
        <v>1</v>
      </c>
      <c r="I18" s="133">
        <v>1</v>
      </c>
      <c r="J18" s="133">
        <v>1</v>
      </c>
      <c r="K18" s="133">
        <v>1</v>
      </c>
      <c r="L18" s="133">
        <v>0</v>
      </c>
      <c r="M18" s="133">
        <v>0</v>
      </c>
      <c r="N18" s="133">
        <v>0</v>
      </c>
      <c r="O18" s="133">
        <v>0</v>
      </c>
    </row>
    <row r="19" spans="1:16" ht="15.75" customHeight="1" x14ac:dyDescent="0.3">
      <c r="B19" s="90" t="s">
        <v>187</v>
      </c>
      <c r="C19" s="133">
        <v>0</v>
      </c>
      <c r="D19" s="133">
        <v>0</v>
      </c>
      <c r="E19" s="133">
        <v>0</v>
      </c>
      <c r="F19" s="133">
        <v>0</v>
      </c>
      <c r="G19" s="133">
        <v>0</v>
      </c>
      <c r="H19" s="133">
        <v>1</v>
      </c>
      <c r="I19" s="133">
        <v>1</v>
      </c>
      <c r="J19" s="133">
        <v>1</v>
      </c>
      <c r="K19" s="133">
        <v>1</v>
      </c>
      <c r="L19" s="133">
        <v>0</v>
      </c>
      <c r="M19" s="133">
        <v>0</v>
      </c>
      <c r="N19" s="133">
        <v>0</v>
      </c>
      <c r="O19" s="133">
        <v>0</v>
      </c>
    </row>
    <row r="20" spans="1:16" ht="15.75" customHeight="1" x14ac:dyDescent="0.3">
      <c r="B20" s="90" t="s">
        <v>207</v>
      </c>
      <c r="C20" s="133">
        <v>0</v>
      </c>
      <c r="D20" s="133">
        <v>0</v>
      </c>
      <c r="E20" s="133">
        <v>0</v>
      </c>
      <c r="F20" s="133">
        <v>0</v>
      </c>
      <c r="G20" s="133">
        <v>0</v>
      </c>
      <c r="H20" s="133">
        <v>1</v>
      </c>
      <c r="I20" s="133">
        <v>1</v>
      </c>
      <c r="J20" s="133">
        <v>1</v>
      </c>
      <c r="K20" s="133">
        <v>1</v>
      </c>
      <c r="L20" s="133">
        <v>0</v>
      </c>
      <c r="M20" s="133">
        <v>0</v>
      </c>
      <c r="N20" s="133">
        <v>0</v>
      </c>
      <c r="O20" s="133">
        <v>0</v>
      </c>
    </row>
    <row r="21" spans="1:16" ht="15.75" customHeight="1" x14ac:dyDescent="0.3">
      <c r="B21" s="91" t="s">
        <v>57</v>
      </c>
      <c r="C21" s="133">
        <v>0</v>
      </c>
      <c r="D21" s="133">
        <v>0</v>
      </c>
      <c r="E21" s="133">
        <v>0</v>
      </c>
      <c r="F21" s="133">
        <v>0</v>
      </c>
      <c r="G21" s="133">
        <v>0</v>
      </c>
      <c r="H21" s="133">
        <v>1</v>
      </c>
      <c r="I21" s="133">
        <v>1</v>
      </c>
      <c r="J21" s="133">
        <v>1</v>
      </c>
      <c r="K21" s="133">
        <v>1</v>
      </c>
      <c r="L21" s="133">
        <v>0</v>
      </c>
      <c r="M21" s="133">
        <v>0</v>
      </c>
      <c r="N21" s="133">
        <v>0</v>
      </c>
      <c r="O21" s="133">
        <v>0</v>
      </c>
    </row>
    <row r="22" spans="1:16" ht="15.75" customHeight="1" x14ac:dyDescent="0.3">
      <c r="B22" s="52" t="s">
        <v>88</v>
      </c>
      <c r="C22" s="133">
        <v>0</v>
      </c>
      <c r="D22" s="133">
        <v>0</v>
      </c>
      <c r="E22" s="133">
        <v>0</v>
      </c>
      <c r="F22" s="133">
        <v>0</v>
      </c>
      <c r="G22" s="133">
        <v>0</v>
      </c>
      <c r="H22" s="133">
        <v>1</v>
      </c>
      <c r="I22" s="133">
        <v>1</v>
      </c>
      <c r="J22" s="133">
        <v>1</v>
      </c>
      <c r="K22" s="133">
        <v>1</v>
      </c>
      <c r="L22" s="133">
        <v>0</v>
      </c>
      <c r="M22" s="133">
        <v>0</v>
      </c>
      <c r="N22" s="133">
        <v>0</v>
      </c>
      <c r="O22" s="133">
        <v>0</v>
      </c>
    </row>
    <row r="23" spans="1:16" ht="15.75" customHeight="1" x14ac:dyDescent="0.3">
      <c r="B23" s="52" t="s">
        <v>87</v>
      </c>
      <c r="C23" s="133">
        <v>0</v>
      </c>
      <c r="D23" s="133">
        <v>0</v>
      </c>
      <c r="E23" s="133">
        <v>0</v>
      </c>
      <c r="F23" s="133">
        <v>0</v>
      </c>
      <c r="G23" s="133">
        <v>0</v>
      </c>
      <c r="H23" s="133">
        <v>1</v>
      </c>
      <c r="I23" s="133">
        <v>1</v>
      </c>
      <c r="J23" s="133">
        <v>1</v>
      </c>
      <c r="K23" s="133">
        <v>1</v>
      </c>
      <c r="L23" s="133">
        <v>0</v>
      </c>
      <c r="M23" s="133">
        <v>0</v>
      </c>
      <c r="N23" s="133">
        <v>0</v>
      </c>
      <c r="O23" s="133">
        <v>0</v>
      </c>
    </row>
    <row r="24" spans="1:16" ht="15.75" customHeight="1" x14ac:dyDescent="0.3">
      <c r="B24" s="52" t="s">
        <v>59</v>
      </c>
      <c r="C24" s="133">
        <v>0</v>
      </c>
      <c r="D24" s="133">
        <v>0</v>
      </c>
      <c r="E24" s="133">
        <v>0</v>
      </c>
      <c r="F24" s="133">
        <v>0</v>
      </c>
      <c r="G24" s="133">
        <v>0</v>
      </c>
      <c r="H24" s="133">
        <v>1</v>
      </c>
      <c r="I24" s="133">
        <v>1</v>
      </c>
      <c r="J24" s="133">
        <v>1</v>
      </c>
      <c r="K24" s="133">
        <v>1</v>
      </c>
      <c r="L24" s="133">
        <v>0</v>
      </c>
      <c r="M24" s="133">
        <v>0</v>
      </c>
      <c r="N24" s="133">
        <v>0</v>
      </c>
      <c r="O24" s="133">
        <v>0</v>
      </c>
    </row>
    <row r="25" spans="1:16" ht="15.75" customHeight="1" x14ac:dyDescent="0.3">
      <c r="B25" s="52"/>
      <c r="C25" s="129"/>
      <c r="D25" s="129"/>
      <c r="E25" s="129"/>
      <c r="F25" s="129"/>
      <c r="G25" s="129"/>
      <c r="H25" s="129"/>
      <c r="I25" s="129"/>
      <c r="J25" s="129"/>
      <c r="K25" s="129"/>
      <c r="L25" s="129"/>
      <c r="M25" s="129"/>
      <c r="N25" s="129"/>
      <c r="O25" s="129"/>
    </row>
    <row r="26" spans="1:16" ht="16.05" customHeight="1" x14ac:dyDescent="0.3">
      <c r="A26" s="56" t="s">
        <v>37</v>
      </c>
      <c r="B26" s="52" t="s">
        <v>197</v>
      </c>
      <c r="C26" s="133">
        <v>0</v>
      </c>
      <c r="D26" s="133">
        <v>0</v>
      </c>
      <c r="E26" s="133">
        <v>0</v>
      </c>
      <c r="F26" s="133">
        <v>0</v>
      </c>
      <c r="G26" s="133">
        <v>0</v>
      </c>
      <c r="H26" s="133">
        <v>0</v>
      </c>
      <c r="I26" s="133">
        <v>0</v>
      </c>
      <c r="J26" s="133">
        <v>0</v>
      </c>
      <c r="K26" s="133">
        <v>0</v>
      </c>
      <c r="L26" s="133">
        <v>1</v>
      </c>
      <c r="M26" s="133">
        <v>0</v>
      </c>
      <c r="N26" s="133">
        <v>0</v>
      </c>
      <c r="O26" s="133">
        <v>0</v>
      </c>
      <c r="P26" s="92"/>
    </row>
    <row r="27" spans="1:16" ht="15.75" customHeight="1" x14ac:dyDescent="0.3">
      <c r="B27" s="59" t="s">
        <v>188</v>
      </c>
      <c r="C27" s="133">
        <v>0</v>
      </c>
      <c r="D27" s="133">
        <v>0</v>
      </c>
      <c r="E27" s="133">
        <v>0</v>
      </c>
      <c r="F27" s="133">
        <v>0</v>
      </c>
      <c r="G27" s="133">
        <v>0</v>
      </c>
      <c r="H27" s="133">
        <v>0</v>
      </c>
      <c r="I27" s="133">
        <v>0</v>
      </c>
      <c r="J27" s="133">
        <v>0</v>
      </c>
      <c r="K27" s="133">
        <v>0</v>
      </c>
      <c r="L27" s="133">
        <v>1</v>
      </c>
      <c r="M27" s="133">
        <v>1</v>
      </c>
      <c r="N27" s="133">
        <v>1</v>
      </c>
      <c r="O27" s="133">
        <v>1</v>
      </c>
    </row>
    <row r="28" spans="1:16" ht="15.75" customHeight="1" x14ac:dyDescent="0.3">
      <c r="A28" s="56"/>
      <c r="B28" s="59" t="s">
        <v>206</v>
      </c>
      <c r="C28" s="133">
        <v>0</v>
      </c>
      <c r="D28" s="133">
        <v>0</v>
      </c>
      <c r="E28" s="133">
        <v>0</v>
      </c>
      <c r="F28" s="133">
        <v>0</v>
      </c>
      <c r="G28" s="133">
        <v>0</v>
      </c>
      <c r="H28" s="133">
        <v>0</v>
      </c>
      <c r="I28" s="133">
        <v>0</v>
      </c>
      <c r="J28" s="133">
        <v>0</v>
      </c>
      <c r="K28" s="133">
        <v>0</v>
      </c>
      <c r="L28" s="133">
        <v>1</v>
      </c>
      <c r="M28" s="133">
        <v>1</v>
      </c>
      <c r="N28" s="133">
        <v>1</v>
      </c>
      <c r="O28" s="133">
        <v>1</v>
      </c>
    </row>
    <row r="29" spans="1:16" ht="15.75" customHeight="1" x14ac:dyDescent="0.3">
      <c r="B29" s="59" t="s">
        <v>189</v>
      </c>
      <c r="C29" s="133">
        <v>0</v>
      </c>
      <c r="D29" s="133">
        <v>0</v>
      </c>
      <c r="E29" s="133">
        <v>0</v>
      </c>
      <c r="F29" s="133">
        <v>0</v>
      </c>
      <c r="G29" s="133">
        <v>0</v>
      </c>
      <c r="H29" s="133">
        <v>0</v>
      </c>
      <c r="I29" s="133">
        <v>0</v>
      </c>
      <c r="J29" s="133">
        <v>0</v>
      </c>
      <c r="K29" s="133">
        <v>0</v>
      </c>
      <c r="L29" s="133">
        <v>1</v>
      </c>
      <c r="M29" s="133">
        <v>1</v>
      </c>
      <c r="N29" s="133">
        <v>1</v>
      </c>
      <c r="O29" s="133">
        <v>1</v>
      </c>
    </row>
    <row r="30" spans="1:16" ht="15.75" customHeight="1" x14ac:dyDescent="0.3">
      <c r="B30" s="59" t="s">
        <v>190</v>
      </c>
      <c r="C30" s="133">
        <v>0</v>
      </c>
      <c r="D30" s="133">
        <v>0</v>
      </c>
      <c r="E30" s="133">
        <v>0</v>
      </c>
      <c r="F30" s="133">
        <v>0</v>
      </c>
      <c r="G30" s="133">
        <v>0</v>
      </c>
      <c r="H30" s="133">
        <v>0</v>
      </c>
      <c r="I30" s="133">
        <v>0</v>
      </c>
      <c r="J30" s="133">
        <v>0</v>
      </c>
      <c r="K30" s="133">
        <v>0</v>
      </c>
      <c r="L30" s="133">
        <v>1</v>
      </c>
      <c r="M30" s="133">
        <v>0</v>
      </c>
      <c r="N30" s="133">
        <v>0</v>
      </c>
      <c r="O30" s="133">
        <v>0</v>
      </c>
    </row>
    <row r="31" spans="1:16" ht="15.75" customHeight="1" x14ac:dyDescent="0.3">
      <c r="B31" s="52"/>
      <c r="C31" s="130"/>
      <c r="D31" s="130"/>
      <c r="E31" s="131"/>
      <c r="F31" s="131"/>
      <c r="G31" s="131"/>
      <c r="H31" s="131"/>
      <c r="I31" s="131"/>
      <c r="J31" s="129"/>
      <c r="K31" s="129"/>
      <c r="L31" s="129"/>
      <c r="M31" s="129"/>
      <c r="N31" s="129"/>
      <c r="O31" s="129"/>
    </row>
    <row r="32" spans="1:16" ht="15.75" customHeight="1" x14ac:dyDescent="0.3">
      <c r="A32" s="56" t="s">
        <v>35</v>
      </c>
      <c r="B32" s="52" t="s">
        <v>63</v>
      </c>
      <c r="C32" s="133">
        <v>1</v>
      </c>
      <c r="D32" s="133">
        <v>0</v>
      </c>
      <c r="E32" s="133">
        <v>1</v>
      </c>
      <c r="F32" s="133">
        <v>1</v>
      </c>
      <c r="G32" s="133">
        <v>1</v>
      </c>
      <c r="H32" s="133">
        <v>1</v>
      </c>
      <c r="I32" s="133">
        <v>1</v>
      </c>
      <c r="J32" s="133">
        <v>1</v>
      </c>
      <c r="K32" s="133">
        <v>1</v>
      </c>
      <c r="L32" s="133">
        <v>1</v>
      </c>
      <c r="M32" s="133">
        <v>1</v>
      </c>
      <c r="N32" s="133">
        <v>1</v>
      </c>
      <c r="O32" s="133">
        <v>1</v>
      </c>
    </row>
    <row r="33" spans="1:15" ht="15.75" customHeight="1" x14ac:dyDescent="0.3">
      <c r="B33" s="52" t="s">
        <v>64</v>
      </c>
      <c r="C33" s="133">
        <v>1</v>
      </c>
      <c r="D33" s="133">
        <v>0</v>
      </c>
      <c r="E33" s="133">
        <v>1</v>
      </c>
      <c r="F33" s="133">
        <v>1</v>
      </c>
      <c r="G33" s="133">
        <v>1</v>
      </c>
      <c r="H33" s="133">
        <v>1</v>
      </c>
      <c r="I33" s="133">
        <v>1</v>
      </c>
      <c r="J33" s="133">
        <v>1</v>
      </c>
      <c r="K33" s="133">
        <v>1</v>
      </c>
      <c r="L33" s="133">
        <v>1</v>
      </c>
      <c r="M33" s="133">
        <v>1</v>
      </c>
      <c r="N33" s="133">
        <v>1</v>
      </c>
      <c r="O33" s="133">
        <v>1</v>
      </c>
    </row>
    <row r="34" spans="1:15" ht="15.75" customHeight="1" x14ac:dyDescent="0.3">
      <c r="B34" s="52" t="s">
        <v>62</v>
      </c>
      <c r="C34" s="133">
        <v>1</v>
      </c>
      <c r="D34" s="133">
        <v>0</v>
      </c>
      <c r="E34" s="133">
        <v>1</v>
      </c>
      <c r="F34" s="133">
        <v>1</v>
      </c>
      <c r="G34" s="133">
        <v>1</v>
      </c>
      <c r="H34" s="133">
        <v>1</v>
      </c>
      <c r="I34" s="133">
        <v>1</v>
      </c>
      <c r="J34" s="133">
        <v>1</v>
      </c>
      <c r="K34" s="133">
        <v>1</v>
      </c>
      <c r="L34" s="133">
        <v>1</v>
      </c>
      <c r="M34" s="133">
        <v>1</v>
      </c>
      <c r="N34" s="133">
        <v>1</v>
      </c>
      <c r="O34" s="133">
        <v>1</v>
      </c>
    </row>
    <row r="35" spans="1:15" ht="15.75" customHeight="1" x14ac:dyDescent="0.3">
      <c r="B35" s="52" t="s">
        <v>47</v>
      </c>
      <c r="C35" s="133">
        <v>1</v>
      </c>
      <c r="D35" s="133">
        <v>0</v>
      </c>
      <c r="E35" s="133">
        <v>1</v>
      </c>
      <c r="F35" s="133">
        <v>1</v>
      </c>
      <c r="G35" s="133">
        <v>1</v>
      </c>
      <c r="H35" s="133">
        <v>1</v>
      </c>
      <c r="I35" s="133">
        <v>1</v>
      </c>
      <c r="J35" s="133">
        <v>1</v>
      </c>
      <c r="K35" s="133">
        <v>1</v>
      </c>
      <c r="L35" s="133">
        <v>1</v>
      </c>
      <c r="M35" s="133">
        <v>1</v>
      </c>
      <c r="N35" s="133">
        <v>1</v>
      </c>
      <c r="O35" s="133">
        <v>1</v>
      </c>
    </row>
    <row r="36" spans="1:15" ht="15.75" customHeight="1" x14ac:dyDescent="0.3">
      <c r="B36" s="52" t="s">
        <v>34</v>
      </c>
      <c r="C36" s="133">
        <v>1</v>
      </c>
      <c r="D36" s="133">
        <v>1</v>
      </c>
      <c r="E36" s="133">
        <v>1</v>
      </c>
      <c r="F36" s="133">
        <v>1</v>
      </c>
      <c r="G36" s="133">
        <v>1</v>
      </c>
      <c r="H36" s="133">
        <v>1</v>
      </c>
      <c r="I36" s="133">
        <v>1</v>
      </c>
      <c r="J36" s="133">
        <v>1</v>
      </c>
      <c r="K36" s="133">
        <v>1</v>
      </c>
      <c r="L36" s="133">
        <v>1</v>
      </c>
      <c r="M36" s="133">
        <v>1</v>
      </c>
      <c r="N36" s="133">
        <v>1</v>
      </c>
      <c r="O36" s="133">
        <v>1</v>
      </c>
    </row>
    <row r="37" spans="1:15" ht="15.75" customHeight="1" x14ac:dyDescent="0.3">
      <c r="A37" s="93"/>
      <c r="B37" s="52" t="s">
        <v>83</v>
      </c>
      <c r="C37" s="133">
        <v>1</v>
      </c>
      <c r="D37" s="133">
        <v>1</v>
      </c>
      <c r="E37" s="133">
        <v>1</v>
      </c>
      <c r="F37" s="133">
        <v>1</v>
      </c>
      <c r="G37" s="133">
        <v>1</v>
      </c>
      <c r="H37" s="133">
        <v>1</v>
      </c>
      <c r="I37" s="133">
        <v>1</v>
      </c>
      <c r="J37" s="133">
        <v>1</v>
      </c>
      <c r="K37" s="133">
        <v>1</v>
      </c>
      <c r="L37" s="133">
        <v>1</v>
      </c>
      <c r="M37" s="133">
        <v>1</v>
      </c>
      <c r="N37" s="133">
        <v>1</v>
      </c>
      <c r="O37" s="133">
        <v>1</v>
      </c>
    </row>
    <row r="38" spans="1:15" s="93" customFormat="1" ht="15.75" customHeight="1" x14ac:dyDescent="0.3">
      <c r="B38" s="52" t="s">
        <v>82</v>
      </c>
      <c r="C38" s="133">
        <v>1</v>
      </c>
      <c r="D38" s="133">
        <v>1</v>
      </c>
      <c r="E38" s="133">
        <v>1</v>
      </c>
      <c r="F38" s="133">
        <v>1</v>
      </c>
      <c r="G38" s="133">
        <v>1</v>
      </c>
      <c r="H38" s="133">
        <v>1</v>
      </c>
      <c r="I38" s="133">
        <v>1</v>
      </c>
      <c r="J38" s="133">
        <v>1</v>
      </c>
      <c r="K38" s="133">
        <v>1</v>
      </c>
      <c r="L38" s="133">
        <v>1</v>
      </c>
      <c r="M38" s="133">
        <v>1</v>
      </c>
      <c r="N38" s="133">
        <v>1</v>
      </c>
      <c r="O38" s="133">
        <v>1</v>
      </c>
    </row>
    <row r="39" spans="1:15" s="93" customFormat="1" ht="15.75" customHeight="1" x14ac:dyDescent="0.3">
      <c r="B39" s="52" t="s">
        <v>81</v>
      </c>
      <c r="C39" s="133">
        <v>1</v>
      </c>
      <c r="D39" s="133">
        <v>1</v>
      </c>
      <c r="E39" s="133">
        <v>1</v>
      </c>
      <c r="F39" s="133">
        <v>1</v>
      </c>
      <c r="G39" s="133">
        <v>1</v>
      </c>
      <c r="H39" s="133">
        <v>1</v>
      </c>
      <c r="I39" s="133">
        <v>1</v>
      </c>
      <c r="J39" s="133">
        <v>1</v>
      </c>
      <c r="K39" s="133">
        <v>1</v>
      </c>
      <c r="L39" s="133">
        <v>1</v>
      </c>
      <c r="M39" s="133">
        <v>1</v>
      </c>
      <c r="N39" s="133">
        <v>1</v>
      </c>
      <c r="O39" s="133">
        <v>1</v>
      </c>
    </row>
    <row r="40" spans="1:15" s="93" customFormat="1" ht="15.75" customHeight="1" x14ac:dyDescent="0.3">
      <c r="B40" s="52" t="s">
        <v>79</v>
      </c>
      <c r="C40" s="133">
        <v>1</v>
      </c>
      <c r="D40" s="133">
        <v>1</v>
      </c>
      <c r="E40" s="133">
        <v>1</v>
      </c>
      <c r="F40" s="133">
        <v>1</v>
      </c>
      <c r="G40" s="133">
        <v>1</v>
      </c>
      <c r="H40" s="133">
        <v>1</v>
      </c>
      <c r="I40" s="133">
        <v>1</v>
      </c>
      <c r="J40" s="133">
        <v>1</v>
      </c>
      <c r="K40" s="133">
        <v>1</v>
      </c>
      <c r="L40" s="133">
        <v>1</v>
      </c>
      <c r="M40" s="133">
        <v>1</v>
      </c>
      <c r="N40" s="133">
        <v>1</v>
      </c>
      <c r="O40" s="133">
        <v>1</v>
      </c>
    </row>
    <row r="41" spans="1:15" ht="15" customHeight="1" x14ac:dyDescent="0.3">
      <c r="B41" s="52" t="s">
        <v>80</v>
      </c>
      <c r="C41" s="133">
        <v>1</v>
      </c>
      <c r="D41" s="133">
        <v>1</v>
      </c>
      <c r="E41" s="133">
        <v>1</v>
      </c>
      <c r="F41" s="133">
        <v>1</v>
      </c>
      <c r="G41" s="133">
        <v>1</v>
      </c>
      <c r="H41" s="133">
        <v>1</v>
      </c>
      <c r="I41" s="133">
        <v>1</v>
      </c>
      <c r="J41" s="133">
        <v>1</v>
      </c>
      <c r="K41" s="133">
        <v>1</v>
      </c>
      <c r="L41" s="133">
        <v>1</v>
      </c>
      <c r="M41" s="133">
        <v>1</v>
      </c>
      <c r="N41" s="133">
        <v>1</v>
      </c>
      <c r="O41" s="133">
        <v>1</v>
      </c>
    </row>
  </sheetData>
  <sheetProtection algorithmName="SHA-512" hashValue="UTAD6hDPFf/Ul0P2TkEmcVLwJIskng6BwO7PQn9KQppd8AxlpMXDzh2uUA/A2vdLAdLHbrkvLJZl/FHFHl0BRA==" saltValue="WyzBb18fC4LyksUq9iofgA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K38"/>
  <sheetViews>
    <sheetView workbookViewId="0">
      <selection activeCell="F8" sqref="F8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196</v>
      </c>
      <c r="K1" s="35" t="s">
        <v>215</v>
      </c>
    </row>
    <row r="2" spans="1:11" x14ac:dyDescent="0.25">
      <c r="A2" s="52" t="s">
        <v>29</v>
      </c>
      <c r="B2" s="133"/>
      <c r="C2" s="133"/>
      <c r="D2" s="133"/>
      <c r="E2" s="133"/>
      <c r="F2" s="133"/>
      <c r="G2" s="133"/>
      <c r="H2" s="133"/>
      <c r="I2" s="133" t="s">
        <v>194</v>
      </c>
      <c r="J2" s="133"/>
      <c r="K2" s="133"/>
    </row>
    <row r="3" spans="1:11" x14ac:dyDescent="0.25">
      <c r="A3" s="52" t="s">
        <v>86</v>
      </c>
      <c r="B3" s="133"/>
      <c r="C3" s="133"/>
      <c r="D3" s="133"/>
      <c r="E3" s="133"/>
      <c r="F3" s="133"/>
      <c r="G3" s="133"/>
      <c r="H3" s="133" t="s">
        <v>194</v>
      </c>
      <c r="I3" s="133"/>
      <c r="J3" s="133"/>
      <c r="K3" s="133"/>
    </row>
    <row r="4" spans="1:11" x14ac:dyDescent="0.25">
      <c r="A4" s="52" t="s">
        <v>61</v>
      </c>
      <c r="B4" s="133"/>
      <c r="C4" s="133"/>
      <c r="D4" s="133" t="s">
        <v>194</v>
      </c>
      <c r="E4" s="133"/>
      <c r="F4" s="133"/>
      <c r="G4" s="133"/>
      <c r="H4" s="133"/>
      <c r="I4" s="133"/>
      <c r="J4" s="133"/>
      <c r="K4" s="133"/>
    </row>
    <row r="5" spans="1:11" x14ac:dyDescent="0.25">
      <c r="A5" s="52" t="s">
        <v>149</v>
      </c>
      <c r="B5" s="133"/>
      <c r="C5" s="133" t="s">
        <v>194</v>
      </c>
      <c r="D5" s="133"/>
      <c r="E5" s="133"/>
      <c r="F5" s="133"/>
      <c r="G5" s="133"/>
      <c r="H5" s="133"/>
      <c r="I5" s="133"/>
      <c r="J5" s="133"/>
      <c r="K5" s="133"/>
    </row>
    <row r="6" spans="1:11" x14ac:dyDescent="0.25">
      <c r="A6" s="52" t="s">
        <v>197</v>
      </c>
      <c r="B6" s="133"/>
      <c r="C6" s="133"/>
      <c r="D6" s="133"/>
      <c r="E6" s="133"/>
      <c r="F6" s="133"/>
      <c r="G6" s="133"/>
      <c r="H6" s="133"/>
      <c r="I6" s="133"/>
      <c r="J6" s="133" t="s">
        <v>194</v>
      </c>
      <c r="K6" s="133" t="s">
        <v>194</v>
      </c>
    </row>
    <row r="7" spans="1:11" x14ac:dyDescent="0.25">
      <c r="A7" s="52" t="s">
        <v>63</v>
      </c>
      <c r="B7" s="133"/>
      <c r="C7" s="133" t="s">
        <v>194</v>
      </c>
      <c r="D7" s="133"/>
      <c r="E7" s="133"/>
      <c r="F7" s="133"/>
      <c r="G7" s="133"/>
      <c r="H7" s="133" t="s">
        <v>194</v>
      </c>
      <c r="I7" s="133"/>
      <c r="J7" s="133"/>
      <c r="K7" s="133"/>
    </row>
    <row r="8" spans="1:11" x14ac:dyDescent="0.25">
      <c r="A8" s="52" t="s">
        <v>64</v>
      </c>
      <c r="B8" s="133"/>
      <c r="C8" s="133" t="s">
        <v>194</v>
      </c>
      <c r="D8" s="133"/>
      <c r="E8" s="133"/>
      <c r="F8" s="133"/>
      <c r="G8" s="133"/>
      <c r="H8" s="133" t="s">
        <v>194</v>
      </c>
      <c r="I8" s="133"/>
      <c r="J8" s="133"/>
      <c r="K8" s="133"/>
    </row>
    <row r="9" spans="1:11" x14ac:dyDescent="0.25">
      <c r="A9" s="52" t="s">
        <v>62</v>
      </c>
      <c r="B9" s="133"/>
      <c r="C9" s="133" t="s">
        <v>194</v>
      </c>
      <c r="D9" s="133"/>
      <c r="E9" s="133"/>
      <c r="F9" s="133"/>
      <c r="G9" s="133"/>
      <c r="H9" s="133" t="s">
        <v>194</v>
      </c>
      <c r="I9" s="133"/>
      <c r="J9" s="133"/>
      <c r="K9" s="133"/>
    </row>
    <row r="10" spans="1:11" x14ac:dyDescent="0.25">
      <c r="A10" s="59" t="s">
        <v>188</v>
      </c>
      <c r="B10" s="133"/>
      <c r="C10" s="133" t="s">
        <v>194</v>
      </c>
      <c r="D10" s="133"/>
      <c r="E10" s="133"/>
      <c r="F10" s="133"/>
      <c r="G10" s="133"/>
      <c r="H10" s="133"/>
      <c r="I10" s="133"/>
      <c r="J10" s="133"/>
      <c r="K10" s="133"/>
    </row>
    <row r="11" spans="1:11" x14ac:dyDescent="0.25">
      <c r="A11" s="59" t="s">
        <v>206</v>
      </c>
      <c r="B11" s="133"/>
      <c r="C11" s="133" t="s">
        <v>194</v>
      </c>
      <c r="D11" s="133"/>
      <c r="E11" s="133"/>
      <c r="F11" s="133"/>
      <c r="G11" s="133"/>
      <c r="H11" s="133"/>
      <c r="I11" s="133"/>
      <c r="J11" s="133"/>
      <c r="K11" s="133"/>
    </row>
    <row r="12" spans="1:11" x14ac:dyDescent="0.25">
      <c r="A12" s="59" t="s">
        <v>189</v>
      </c>
      <c r="B12" s="133"/>
      <c r="C12" s="133" t="s">
        <v>194</v>
      </c>
      <c r="D12" s="133"/>
      <c r="E12" s="133"/>
      <c r="F12" s="133"/>
      <c r="G12" s="133"/>
      <c r="H12" s="133"/>
      <c r="I12" s="133"/>
      <c r="J12" s="133"/>
      <c r="K12" s="133"/>
    </row>
    <row r="13" spans="1:11" x14ac:dyDescent="0.25">
      <c r="A13" s="59" t="s">
        <v>190</v>
      </c>
      <c r="B13" s="133"/>
      <c r="C13" s="133" t="s">
        <v>194</v>
      </c>
      <c r="D13" s="133"/>
      <c r="E13" s="133"/>
      <c r="F13" s="133"/>
      <c r="G13" s="133"/>
      <c r="H13" s="133"/>
      <c r="I13" s="133"/>
      <c r="J13" s="133"/>
      <c r="K13" s="133"/>
    </row>
    <row r="14" spans="1:11" x14ac:dyDescent="0.25">
      <c r="A14" s="90" t="s">
        <v>187</v>
      </c>
      <c r="B14" s="133"/>
      <c r="C14" s="133" t="s">
        <v>194</v>
      </c>
      <c r="D14" s="133"/>
      <c r="E14" s="133"/>
      <c r="F14" s="133"/>
      <c r="G14" s="133"/>
      <c r="H14" s="133"/>
      <c r="I14" s="133" t="s">
        <v>194</v>
      </c>
      <c r="J14" s="133"/>
      <c r="K14" s="133"/>
    </row>
    <row r="15" spans="1:11" x14ac:dyDescent="0.25">
      <c r="A15" s="90" t="s">
        <v>207</v>
      </c>
      <c r="B15" s="133"/>
      <c r="C15" s="133" t="s">
        <v>194</v>
      </c>
      <c r="D15" s="133"/>
      <c r="E15" s="133"/>
      <c r="F15" s="133"/>
      <c r="G15" s="133"/>
      <c r="H15" s="133"/>
      <c r="I15" s="133" t="s">
        <v>194</v>
      </c>
      <c r="J15" s="133"/>
      <c r="K15" s="133"/>
    </row>
    <row r="16" spans="1:11" x14ac:dyDescent="0.25">
      <c r="A16" s="52" t="s">
        <v>57</v>
      </c>
      <c r="B16" s="133"/>
      <c r="C16" s="133" t="s">
        <v>194</v>
      </c>
      <c r="D16" s="133"/>
      <c r="E16" s="133"/>
      <c r="F16" s="133"/>
      <c r="G16" s="133"/>
      <c r="H16" s="133" t="s">
        <v>194</v>
      </c>
      <c r="I16" s="133" t="s">
        <v>194</v>
      </c>
      <c r="J16" s="133"/>
      <c r="K16" s="133"/>
    </row>
    <row r="17" spans="1:11" x14ac:dyDescent="0.25">
      <c r="A17" s="52" t="s">
        <v>47</v>
      </c>
      <c r="B17" s="133"/>
      <c r="C17" s="133" t="s">
        <v>194</v>
      </c>
      <c r="D17" s="133"/>
      <c r="E17" s="133"/>
      <c r="F17" s="133"/>
      <c r="G17" s="133"/>
      <c r="H17" s="133"/>
      <c r="I17" s="133"/>
      <c r="J17" s="133"/>
      <c r="K17" s="133"/>
    </row>
    <row r="18" spans="1:11" x14ac:dyDescent="0.25">
      <c r="A18" s="52" t="s">
        <v>173</v>
      </c>
      <c r="B18" s="133" t="s">
        <v>194</v>
      </c>
      <c r="C18" s="133"/>
      <c r="D18" s="133"/>
      <c r="E18" s="133"/>
      <c r="F18" s="133" t="s">
        <v>194</v>
      </c>
      <c r="G18" s="133"/>
      <c r="H18" s="133"/>
      <c r="I18" s="133"/>
      <c r="J18" s="133"/>
      <c r="K18" s="133"/>
    </row>
    <row r="19" spans="1:11" x14ac:dyDescent="0.25">
      <c r="A19" s="52" t="s">
        <v>198</v>
      </c>
      <c r="B19" s="133" t="s">
        <v>194</v>
      </c>
      <c r="C19" s="133"/>
      <c r="D19" s="133"/>
      <c r="E19" s="133"/>
      <c r="F19" s="133" t="s">
        <v>194</v>
      </c>
      <c r="G19" s="133"/>
      <c r="H19" s="133"/>
      <c r="I19" s="133"/>
      <c r="J19" s="133"/>
      <c r="K19" s="133"/>
    </row>
    <row r="20" spans="1:11" x14ac:dyDescent="0.25">
      <c r="A20" s="52" t="s">
        <v>199</v>
      </c>
      <c r="B20" s="133" t="s">
        <v>194</v>
      </c>
      <c r="C20" s="133"/>
      <c r="D20" s="133"/>
      <c r="E20" s="133"/>
      <c r="F20" s="133" t="s">
        <v>194</v>
      </c>
      <c r="G20" s="133"/>
      <c r="H20" s="133"/>
      <c r="I20" s="133"/>
      <c r="J20" s="133"/>
      <c r="K20" s="133"/>
    </row>
    <row r="21" spans="1:11" x14ac:dyDescent="0.25">
      <c r="A21" s="52" t="s">
        <v>195</v>
      </c>
      <c r="B21" s="133"/>
      <c r="C21" s="133"/>
      <c r="D21" s="133"/>
      <c r="E21" s="133"/>
      <c r="F21" s="133"/>
      <c r="G21" s="133"/>
      <c r="H21" s="133" t="s">
        <v>194</v>
      </c>
      <c r="I21" s="133" t="s">
        <v>194</v>
      </c>
      <c r="J21" s="133"/>
      <c r="K21" s="133"/>
    </row>
    <row r="22" spans="1:11" x14ac:dyDescent="0.25">
      <c r="A22" s="52" t="s">
        <v>136</v>
      </c>
      <c r="B22" s="133" t="s">
        <v>194</v>
      </c>
      <c r="C22" s="133" t="s">
        <v>194</v>
      </c>
      <c r="D22" s="133" t="s">
        <v>194</v>
      </c>
      <c r="E22" s="133"/>
      <c r="F22" s="133"/>
      <c r="G22" s="133"/>
      <c r="H22" s="133"/>
      <c r="I22" s="133"/>
      <c r="J22" s="133"/>
      <c r="K22" s="133"/>
    </row>
    <row r="23" spans="1:11" x14ac:dyDescent="0.25">
      <c r="A23" s="52" t="s">
        <v>34</v>
      </c>
      <c r="B23" s="133"/>
      <c r="C23" s="133" t="s">
        <v>194</v>
      </c>
      <c r="D23" s="133"/>
      <c r="E23" s="133"/>
      <c r="F23" s="133"/>
      <c r="G23" s="133"/>
      <c r="H23" s="133"/>
      <c r="I23" s="133" t="s">
        <v>194</v>
      </c>
      <c r="J23" s="133"/>
      <c r="K23" s="133"/>
    </row>
    <row r="24" spans="1:11" x14ac:dyDescent="0.25">
      <c r="A24" s="52" t="s">
        <v>88</v>
      </c>
      <c r="B24" s="133"/>
      <c r="C24" s="133"/>
      <c r="D24" s="133"/>
      <c r="E24" s="133"/>
      <c r="F24" s="133"/>
      <c r="G24" s="133"/>
      <c r="H24" s="133" t="s">
        <v>194</v>
      </c>
      <c r="I24" s="133"/>
      <c r="J24" s="133"/>
      <c r="K24" s="133"/>
    </row>
    <row r="25" spans="1:11" x14ac:dyDescent="0.25">
      <c r="A25" s="52" t="s">
        <v>87</v>
      </c>
      <c r="B25" s="133"/>
      <c r="C25" s="133"/>
      <c r="D25" s="133"/>
      <c r="E25" s="133"/>
      <c r="F25" s="133"/>
      <c r="G25" s="133"/>
      <c r="H25" s="133" t="s">
        <v>194</v>
      </c>
      <c r="I25" s="133"/>
      <c r="J25" s="133"/>
      <c r="K25" s="133"/>
    </row>
    <row r="26" spans="1:11" x14ac:dyDescent="0.25">
      <c r="A26" s="52" t="s">
        <v>137</v>
      </c>
      <c r="B26" s="133"/>
      <c r="C26" s="133" t="s">
        <v>194</v>
      </c>
      <c r="D26" s="133"/>
      <c r="E26" s="133"/>
      <c r="F26" s="133"/>
      <c r="G26" s="133"/>
      <c r="H26" s="133"/>
      <c r="I26" s="133"/>
      <c r="J26" s="133"/>
      <c r="K26" s="133"/>
    </row>
    <row r="27" spans="1:11" x14ac:dyDescent="0.25">
      <c r="A27" s="52" t="s">
        <v>59</v>
      </c>
      <c r="B27" s="133"/>
      <c r="C27" s="133" t="s">
        <v>194</v>
      </c>
      <c r="D27" s="133"/>
      <c r="E27" s="133"/>
      <c r="F27" s="133"/>
      <c r="G27" s="133"/>
      <c r="H27" s="133"/>
      <c r="I27" s="133" t="s">
        <v>194</v>
      </c>
      <c r="J27" s="133"/>
      <c r="K27" s="133"/>
    </row>
    <row r="28" spans="1:11" x14ac:dyDescent="0.25">
      <c r="A28" s="52" t="s">
        <v>84</v>
      </c>
      <c r="B28" s="133"/>
      <c r="C28" s="133"/>
      <c r="D28" s="133"/>
      <c r="E28" s="133"/>
      <c r="F28" s="133"/>
      <c r="G28" s="133"/>
      <c r="H28" s="133" t="s">
        <v>194</v>
      </c>
      <c r="I28" s="133"/>
      <c r="J28" s="133"/>
      <c r="K28" s="133"/>
    </row>
    <row r="29" spans="1:11" x14ac:dyDescent="0.25">
      <c r="A29" s="52" t="s">
        <v>58</v>
      </c>
      <c r="B29" s="133" t="s">
        <v>194</v>
      </c>
      <c r="C29" s="133"/>
      <c r="D29" s="133" t="s">
        <v>194</v>
      </c>
      <c r="E29" s="133"/>
      <c r="F29" s="133"/>
      <c r="G29" s="133"/>
      <c r="H29" s="133"/>
      <c r="I29" s="133"/>
      <c r="J29" s="133"/>
      <c r="K29" s="133"/>
    </row>
    <row r="30" spans="1:11" x14ac:dyDescent="0.25">
      <c r="A30" s="52" t="s">
        <v>67</v>
      </c>
      <c r="B30" s="133"/>
      <c r="C30" s="133"/>
      <c r="D30" s="133"/>
      <c r="E30" s="133" t="s">
        <v>194</v>
      </c>
      <c r="F30" s="133"/>
      <c r="G30" s="133"/>
      <c r="H30" s="133"/>
      <c r="I30" s="133"/>
      <c r="J30" s="133"/>
      <c r="K30" s="133"/>
    </row>
    <row r="31" spans="1:11" x14ac:dyDescent="0.25">
      <c r="A31" s="52" t="s">
        <v>28</v>
      </c>
      <c r="B31" s="133"/>
      <c r="C31" s="133"/>
      <c r="D31" s="133"/>
      <c r="E31" s="133"/>
      <c r="F31" s="133"/>
      <c r="G31" s="133" t="s">
        <v>194</v>
      </c>
      <c r="H31" s="133" t="s">
        <v>194</v>
      </c>
      <c r="I31" s="133"/>
      <c r="J31" s="133"/>
      <c r="K31" s="133"/>
    </row>
    <row r="32" spans="1:11" x14ac:dyDescent="0.25">
      <c r="A32" s="52" t="s">
        <v>83</v>
      </c>
      <c r="B32" s="133"/>
      <c r="C32" s="133"/>
      <c r="D32" s="133"/>
      <c r="E32" s="133"/>
      <c r="F32" s="133"/>
      <c r="G32" s="133" t="s">
        <v>194</v>
      </c>
      <c r="H32" s="133" t="s">
        <v>194</v>
      </c>
      <c r="I32" s="133"/>
      <c r="J32" s="133"/>
      <c r="K32" s="133"/>
    </row>
    <row r="33" spans="1:11" x14ac:dyDescent="0.25">
      <c r="A33" s="52" t="s">
        <v>82</v>
      </c>
      <c r="B33" s="133"/>
      <c r="C33" s="133"/>
      <c r="D33" s="133"/>
      <c r="E33" s="133"/>
      <c r="F33" s="133"/>
      <c r="G33" s="133" t="s">
        <v>194</v>
      </c>
      <c r="H33" s="133" t="s">
        <v>194</v>
      </c>
      <c r="I33" s="133"/>
      <c r="J33" s="133"/>
      <c r="K33" s="133"/>
    </row>
    <row r="34" spans="1:11" x14ac:dyDescent="0.25">
      <c r="A34" s="52" t="s">
        <v>81</v>
      </c>
      <c r="B34" s="133"/>
      <c r="C34" s="133"/>
      <c r="D34" s="133"/>
      <c r="E34" s="133"/>
      <c r="F34" s="133"/>
      <c r="G34" s="133" t="s">
        <v>194</v>
      </c>
      <c r="H34" s="133" t="s">
        <v>194</v>
      </c>
      <c r="I34" s="133"/>
      <c r="J34" s="133"/>
      <c r="K34" s="133"/>
    </row>
    <row r="35" spans="1:11" x14ac:dyDescent="0.25">
      <c r="A35" s="52" t="s">
        <v>79</v>
      </c>
      <c r="B35" s="133"/>
      <c r="C35" s="133"/>
      <c r="D35" s="133"/>
      <c r="E35" s="133"/>
      <c r="F35" s="133"/>
      <c r="G35" s="133" t="s">
        <v>194</v>
      </c>
      <c r="H35" s="133" t="s">
        <v>194</v>
      </c>
      <c r="I35" s="133"/>
      <c r="J35" s="133"/>
      <c r="K35" s="133"/>
    </row>
    <row r="36" spans="1:11" x14ac:dyDescent="0.25">
      <c r="A36" s="52" t="s">
        <v>80</v>
      </c>
      <c r="B36" s="133"/>
      <c r="C36" s="133"/>
      <c r="D36" s="133"/>
      <c r="E36" s="133"/>
      <c r="F36" s="133"/>
      <c r="G36" s="133" t="s">
        <v>194</v>
      </c>
      <c r="H36" s="133" t="s">
        <v>194</v>
      </c>
      <c r="I36" s="133"/>
      <c r="J36" s="133"/>
      <c r="K36" s="133"/>
    </row>
    <row r="37" spans="1:11" x14ac:dyDescent="0.25">
      <c r="A37" s="52" t="s">
        <v>85</v>
      </c>
      <c r="B37" s="133"/>
      <c r="C37" s="133"/>
      <c r="D37" s="133"/>
      <c r="E37" s="133"/>
      <c r="F37" s="133"/>
      <c r="G37" s="133"/>
      <c r="H37" s="133" t="s">
        <v>194</v>
      </c>
      <c r="I37" s="133"/>
      <c r="J37" s="133"/>
      <c r="K37" s="133"/>
    </row>
    <row r="38" spans="1:11" x14ac:dyDescent="0.25">
      <c r="A38" s="52" t="s">
        <v>60</v>
      </c>
      <c r="B38" s="133" t="s">
        <v>194</v>
      </c>
      <c r="C38" s="133"/>
      <c r="D38" s="133"/>
      <c r="E38" s="133"/>
      <c r="F38" s="133"/>
      <c r="G38" s="133" t="s">
        <v>194</v>
      </c>
      <c r="H38" s="133" t="s">
        <v>194</v>
      </c>
      <c r="I38" s="133"/>
      <c r="J38" s="133"/>
      <c r="K38" s="133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216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196</v>
      </c>
      <c r="K1" s="35" t="s">
        <v>215</v>
      </c>
    </row>
    <row r="2" spans="1:11" x14ac:dyDescent="0.25">
      <c r="A2" s="35" t="s">
        <v>1</v>
      </c>
      <c r="B2" s="133" t="s">
        <v>194</v>
      </c>
      <c r="C2" s="133" t="s">
        <v>194</v>
      </c>
      <c r="D2" s="133" t="s">
        <v>194</v>
      </c>
      <c r="E2" s="133" t="s">
        <v>194</v>
      </c>
      <c r="F2" s="133" t="s">
        <v>194</v>
      </c>
      <c r="G2" s="133" t="s">
        <v>194</v>
      </c>
      <c r="H2" s="133" t="s">
        <v>194</v>
      </c>
      <c r="I2" s="133"/>
      <c r="J2" s="133"/>
      <c r="K2" s="133"/>
    </row>
    <row r="3" spans="1:11" x14ac:dyDescent="0.25">
      <c r="A3" s="35" t="s">
        <v>2</v>
      </c>
      <c r="B3" s="133" t="s">
        <v>194</v>
      </c>
      <c r="C3" s="133" t="s">
        <v>194</v>
      </c>
      <c r="D3" s="133" t="s">
        <v>194</v>
      </c>
      <c r="E3" s="133" t="s">
        <v>194</v>
      </c>
      <c r="F3" s="133" t="s">
        <v>194</v>
      </c>
      <c r="G3" s="133" t="s">
        <v>194</v>
      </c>
      <c r="H3" s="133" t="s">
        <v>194</v>
      </c>
      <c r="I3" s="133"/>
      <c r="J3" s="133"/>
      <c r="K3" s="133"/>
    </row>
    <row r="4" spans="1:11" x14ac:dyDescent="0.25">
      <c r="A4" s="35" t="s">
        <v>3</v>
      </c>
      <c r="B4" s="133" t="s">
        <v>194</v>
      </c>
      <c r="C4" s="133" t="s">
        <v>194</v>
      </c>
      <c r="D4" s="133" t="s">
        <v>194</v>
      </c>
      <c r="E4" s="133" t="s">
        <v>194</v>
      </c>
      <c r="F4" s="133" t="s">
        <v>194</v>
      </c>
      <c r="G4" s="133" t="s">
        <v>194</v>
      </c>
      <c r="H4" s="133" t="s">
        <v>194</v>
      </c>
      <c r="I4" s="133"/>
      <c r="J4" s="133"/>
      <c r="K4" s="133"/>
    </row>
    <row r="5" spans="1:11" x14ac:dyDescent="0.25">
      <c r="A5" s="35" t="s">
        <v>4</v>
      </c>
      <c r="B5" s="133" t="s">
        <v>194</v>
      </c>
      <c r="C5" s="133" t="s">
        <v>194</v>
      </c>
      <c r="D5" s="133" t="s">
        <v>194</v>
      </c>
      <c r="E5" s="133" t="s">
        <v>194</v>
      </c>
      <c r="F5" s="133" t="s">
        <v>194</v>
      </c>
      <c r="G5" s="133" t="s">
        <v>194</v>
      </c>
      <c r="H5" s="133" t="s">
        <v>194</v>
      </c>
      <c r="I5" s="133"/>
      <c r="J5" s="133"/>
      <c r="K5" s="133"/>
    </row>
    <row r="6" spans="1:11" x14ac:dyDescent="0.25">
      <c r="A6" s="35" t="s">
        <v>5</v>
      </c>
      <c r="B6" s="133" t="s">
        <v>194</v>
      </c>
      <c r="C6" s="133" t="s">
        <v>194</v>
      </c>
      <c r="D6" s="133" t="s">
        <v>194</v>
      </c>
      <c r="E6" s="133" t="s">
        <v>194</v>
      </c>
      <c r="F6" s="133" t="s">
        <v>194</v>
      </c>
      <c r="G6" s="133" t="s">
        <v>194</v>
      </c>
      <c r="H6" s="133" t="s">
        <v>194</v>
      </c>
      <c r="I6" s="133"/>
      <c r="J6" s="133"/>
      <c r="K6" s="133"/>
    </row>
    <row r="7" spans="1:11" x14ac:dyDescent="0.25">
      <c r="A7" s="35" t="s">
        <v>53</v>
      </c>
      <c r="B7" s="133"/>
      <c r="C7" s="133" t="s">
        <v>194</v>
      </c>
      <c r="D7" s="133"/>
      <c r="E7" s="133"/>
      <c r="F7" s="133"/>
      <c r="G7" s="133"/>
      <c r="H7" s="133" t="s">
        <v>194</v>
      </c>
      <c r="I7" s="133" t="s">
        <v>194</v>
      </c>
      <c r="J7" s="133"/>
      <c r="K7" s="133"/>
    </row>
    <row r="8" spans="1:11" x14ac:dyDescent="0.25">
      <c r="A8" s="35" t="s">
        <v>54</v>
      </c>
      <c r="B8" s="133"/>
      <c r="C8" s="133" t="s">
        <v>194</v>
      </c>
      <c r="D8" s="133"/>
      <c r="E8" s="133"/>
      <c r="F8" s="133"/>
      <c r="G8" s="133"/>
      <c r="H8" s="133" t="s">
        <v>194</v>
      </c>
      <c r="I8" s="133" t="s">
        <v>194</v>
      </c>
      <c r="J8" s="133"/>
      <c r="K8" s="133"/>
    </row>
    <row r="9" spans="1:11" x14ac:dyDescent="0.25">
      <c r="A9" s="35" t="s">
        <v>55</v>
      </c>
      <c r="B9" s="133"/>
      <c r="C9" s="133" t="s">
        <v>194</v>
      </c>
      <c r="D9" s="133"/>
      <c r="E9" s="133"/>
      <c r="F9" s="133"/>
      <c r="G9" s="133"/>
      <c r="H9" s="133" t="s">
        <v>194</v>
      </c>
      <c r="I9" s="133" t="s">
        <v>194</v>
      </c>
      <c r="J9" s="133"/>
      <c r="K9" s="133"/>
    </row>
    <row r="10" spans="1:11" x14ac:dyDescent="0.25">
      <c r="A10" s="35" t="s">
        <v>56</v>
      </c>
      <c r="B10" s="133"/>
      <c r="C10" s="133" t="s">
        <v>194</v>
      </c>
      <c r="D10" s="133"/>
      <c r="E10" s="133"/>
      <c r="F10" s="133"/>
      <c r="G10" s="133"/>
      <c r="H10" s="133" t="s">
        <v>194</v>
      </c>
      <c r="I10" s="133" t="s">
        <v>194</v>
      </c>
      <c r="J10" s="133"/>
      <c r="K10" s="133"/>
    </row>
    <row r="11" spans="1:11" x14ac:dyDescent="0.25">
      <c r="A11" s="35" t="s">
        <v>49</v>
      </c>
      <c r="B11" s="133"/>
      <c r="C11" s="133" t="s">
        <v>194</v>
      </c>
      <c r="D11" s="133"/>
      <c r="E11" s="133"/>
      <c r="F11" s="133"/>
      <c r="G11" s="133"/>
      <c r="H11" s="133"/>
      <c r="I11" s="133"/>
      <c r="J11" s="133" t="s">
        <v>194</v>
      </c>
      <c r="K11" s="133" t="s">
        <v>194</v>
      </c>
    </row>
    <row r="12" spans="1:11" x14ac:dyDescent="0.25">
      <c r="A12" s="35" t="s">
        <v>50</v>
      </c>
      <c r="B12" s="133"/>
      <c r="C12" s="133" t="s">
        <v>194</v>
      </c>
      <c r="D12" s="133"/>
      <c r="E12" s="133"/>
      <c r="F12" s="133"/>
      <c r="G12" s="133"/>
      <c r="H12" s="133"/>
      <c r="I12" s="133"/>
      <c r="J12" s="133"/>
      <c r="K12" s="133" t="s">
        <v>194</v>
      </c>
    </row>
    <row r="13" spans="1:11" x14ac:dyDescent="0.25">
      <c r="A13" s="35" t="s">
        <v>51</v>
      </c>
      <c r="B13" s="133"/>
      <c r="C13" s="133" t="s">
        <v>194</v>
      </c>
      <c r="D13" s="133"/>
      <c r="E13" s="133"/>
      <c r="F13" s="133"/>
      <c r="G13" s="133"/>
      <c r="H13" s="133"/>
      <c r="I13" s="133"/>
      <c r="J13" s="133"/>
      <c r="K13" s="133" t="s">
        <v>194</v>
      </c>
    </row>
    <row r="14" spans="1:11" x14ac:dyDescent="0.25">
      <c r="A14" s="35" t="s">
        <v>52</v>
      </c>
      <c r="B14" s="133"/>
      <c r="C14" s="133" t="s">
        <v>194</v>
      </c>
      <c r="D14" s="133"/>
      <c r="E14" s="133"/>
      <c r="F14" s="133"/>
      <c r="G14" s="133"/>
      <c r="H14" s="133"/>
      <c r="I14" s="133"/>
      <c r="J14" s="133"/>
      <c r="K14" s="133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J51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217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4" t="s">
        <v>5</v>
      </c>
    </row>
    <row r="2" spans="1:10" x14ac:dyDescent="0.25">
      <c r="A2" s="40" t="s">
        <v>218</v>
      </c>
      <c r="B2" s="138" t="s">
        <v>32</v>
      </c>
      <c r="C2" s="35" t="s">
        <v>176</v>
      </c>
      <c r="D2" s="134">
        <v>1</v>
      </c>
      <c r="E2" s="134">
        <v>1</v>
      </c>
      <c r="F2" s="134">
        <v>1</v>
      </c>
      <c r="G2" s="134">
        <v>1</v>
      </c>
      <c r="H2" s="134">
        <v>1</v>
      </c>
    </row>
    <row r="3" spans="1:10" x14ac:dyDescent="0.25">
      <c r="B3" s="138"/>
      <c r="C3" s="35" t="s">
        <v>175</v>
      </c>
      <c r="D3" s="134">
        <v>1</v>
      </c>
      <c r="E3" s="134">
        <v>1</v>
      </c>
      <c r="F3" s="134">
        <v>1</v>
      </c>
      <c r="G3" s="134">
        <v>1</v>
      </c>
      <c r="H3" s="134">
        <v>1</v>
      </c>
      <c r="J3" s="95"/>
    </row>
    <row r="4" spans="1:10" x14ac:dyDescent="0.25">
      <c r="B4" s="138"/>
      <c r="C4" s="35" t="s">
        <v>174</v>
      </c>
      <c r="D4" s="134">
        <v>1</v>
      </c>
      <c r="E4" s="134">
        <v>1</v>
      </c>
      <c r="F4" s="134">
        <v>1</v>
      </c>
      <c r="G4" s="134">
        <v>1</v>
      </c>
      <c r="H4" s="134">
        <v>1</v>
      </c>
      <c r="J4" s="95"/>
    </row>
    <row r="5" spans="1:10" x14ac:dyDescent="0.25">
      <c r="B5" s="138" t="s">
        <v>1</v>
      </c>
      <c r="C5" s="35" t="s">
        <v>176</v>
      </c>
      <c r="D5" s="134">
        <f>5.16</f>
        <v>5.16</v>
      </c>
      <c r="E5" s="134">
        <v>1</v>
      </c>
      <c r="F5" s="134">
        <v>1</v>
      </c>
      <c r="G5" s="134">
        <v>1</v>
      </c>
      <c r="H5" s="134">
        <v>1</v>
      </c>
    </row>
    <row r="6" spans="1:10" x14ac:dyDescent="0.25">
      <c r="B6" s="138"/>
      <c r="C6" s="35" t="s">
        <v>175</v>
      </c>
      <c r="D6" s="134">
        <v>5.16</v>
      </c>
      <c r="E6" s="134">
        <v>1</v>
      </c>
      <c r="F6" s="134">
        <v>1</v>
      </c>
      <c r="G6" s="134">
        <v>1</v>
      </c>
      <c r="H6" s="134">
        <v>1</v>
      </c>
    </row>
    <row r="7" spans="1:10" x14ac:dyDescent="0.25">
      <c r="B7" s="138"/>
      <c r="C7" s="35" t="s">
        <v>174</v>
      </c>
      <c r="D7" s="134">
        <v>1</v>
      </c>
      <c r="E7" s="134">
        <v>1</v>
      </c>
      <c r="F7" s="134">
        <v>1</v>
      </c>
      <c r="G7" s="134">
        <v>1</v>
      </c>
      <c r="H7" s="134">
        <v>1</v>
      </c>
    </row>
    <row r="8" spans="1:10" x14ac:dyDescent="0.25">
      <c r="B8" s="138" t="s">
        <v>2</v>
      </c>
      <c r="C8" s="35" t="s">
        <v>176</v>
      </c>
      <c r="D8" s="134">
        <v>1</v>
      </c>
      <c r="E8" s="134">
        <v>5.16</v>
      </c>
      <c r="F8" s="134">
        <v>1</v>
      </c>
      <c r="G8" s="134">
        <v>1</v>
      </c>
      <c r="H8" s="134">
        <v>1</v>
      </c>
    </row>
    <row r="9" spans="1:10" x14ac:dyDescent="0.25">
      <c r="B9" s="138"/>
      <c r="C9" s="35" t="s">
        <v>175</v>
      </c>
      <c r="D9" s="134">
        <v>1</v>
      </c>
      <c r="E9" s="134">
        <v>5.16</v>
      </c>
      <c r="F9" s="134">
        <v>1</v>
      </c>
      <c r="G9" s="134">
        <v>1</v>
      </c>
      <c r="H9" s="134">
        <v>1</v>
      </c>
    </row>
    <row r="10" spans="1:10" x14ac:dyDescent="0.25">
      <c r="B10" s="138"/>
      <c r="C10" s="35" t="s">
        <v>174</v>
      </c>
      <c r="D10" s="134">
        <v>1</v>
      </c>
      <c r="E10" s="134">
        <v>1</v>
      </c>
      <c r="F10" s="134">
        <v>1</v>
      </c>
      <c r="G10" s="134">
        <v>1</v>
      </c>
      <c r="H10" s="134">
        <v>1</v>
      </c>
    </row>
    <row r="11" spans="1:10" x14ac:dyDescent="0.25">
      <c r="B11" s="138" t="s">
        <v>3</v>
      </c>
      <c r="C11" s="35" t="s">
        <v>176</v>
      </c>
      <c r="D11" s="134">
        <v>1</v>
      </c>
      <c r="E11" s="134">
        <v>1</v>
      </c>
      <c r="F11" s="134">
        <v>1.82</v>
      </c>
      <c r="G11" s="134">
        <v>1</v>
      </c>
      <c r="H11" s="134">
        <v>1</v>
      </c>
    </row>
    <row r="12" spans="1:10" x14ac:dyDescent="0.25">
      <c r="B12" s="138"/>
      <c r="C12" s="35" t="s">
        <v>175</v>
      </c>
      <c r="D12" s="134">
        <v>1</v>
      </c>
      <c r="E12" s="134">
        <v>1</v>
      </c>
      <c r="F12" s="134">
        <v>1.82</v>
      </c>
      <c r="G12" s="134">
        <v>1</v>
      </c>
      <c r="H12" s="134">
        <v>1</v>
      </c>
    </row>
    <row r="13" spans="1:10" x14ac:dyDescent="0.25">
      <c r="B13" s="138"/>
      <c r="C13" s="35" t="s">
        <v>174</v>
      </c>
      <c r="D13" s="134">
        <v>1</v>
      </c>
      <c r="E13" s="134">
        <v>1</v>
      </c>
      <c r="F13" s="134">
        <v>1</v>
      </c>
      <c r="G13" s="134">
        <v>1</v>
      </c>
      <c r="H13" s="134">
        <v>1</v>
      </c>
    </row>
    <row r="14" spans="1:10" x14ac:dyDescent="0.25">
      <c r="B14" s="138" t="s">
        <v>4</v>
      </c>
      <c r="C14" s="35" t="s">
        <v>176</v>
      </c>
      <c r="D14" s="134">
        <v>1</v>
      </c>
      <c r="E14" s="134">
        <v>1</v>
      </c>
      <c r="F14" s="134">
        <v>1</v>
      </c>
      <c r="G14" s="134">
        <v>1.82</v>
      </c>
      <c r="H14" s="134">
        <v>1</v>
      </c>
    </row>
    <row r="15" spans="1:10" x14ac:dyDescent="0.25">
      <c r="B15" s="138"/>
      <c r="C15" s="35" t="s">
        <v>175</v>
      </c>
      <c r="D15" s="134">
        <v>1</v>
      </c>
      <c r="E15" s="134">
        <v>1</v>
      </c>
      <c r="F15" s="134">
        <v>1</v>
      </c>
      <c r="G15" s="134">
        <v>1.82</v>
      </c>
      <c r="H15" s="134">
        <v>1</v>
      </c>
    </row>
    <row r="16" spans="1:10" x14ac:dyDescent="0.25">
      <c r="B16" s="138"/>
      <c r="C16" s="35" t="s">
        <v>174</v>
      </c>
      <c r="D16" s="134">
        <v>1</v>
      </c>
      <c r="E16" s="134">
        <v>1</v>
      </c>
      <c r="F16" s="134">
        <v>1</v>
      </c>
      <c r="G16" s="134">
        <v>1</v>
      </c>
      <c r="H16" s="134">
        <v>1</v>
      </c>
    </row>
    <row r="17" spans="1:8" x14ac:dyDescent="0.25">
      <c r="B17" s="96" t="s">
        <v>172</v>
      </c>
      <c r="C17" s="35" t="s">
        <v>174</v>
      </c>
      <c r="D17" s="134">
        <v>1.05</v>
      </c>
      <c r="E17" s="134">
        <v>1.05</v>
      </c>
      <c r="F17" s="134">
        <v>1.05</v>
      </c>
      <c r="G17" s="134">
        <v>1.05</v>
      </c>
      <c r="H17" s="134">
        <v>1</v>
      </c>
    </row>
    <row r="18" spans="1:8" x14ac:dyDescent="0.25">
      <c r="D18" s="132"/>
      <c r="E18" s="132"/>
      <c r="F18" s="132"/>
      <c r="G18" s="132"/>
      <c r="H18" s="132"/>
    </row>
    <row r="19" spans="1:8" x14ac:dyDescent="0.25">
      <c r="A19" s="40" t="s">
        <v>219</v>
      </c>
      <c r="B19" s="138" t="s">
        <v>32</v>
      </c>
      <c r="C19" s="35" t="s">
        <v>176</v>
      </c>
      <c r="D19" s="134">
        <v>1</v>
      </c>
      <c r="E19" s="134">
        <v>1</v>
      </c>
      <c r="F19" s="134">
        <v>0.98</v>
      </c>
      <c r="G19" s="134">
        <v>0.98</v>
      </c>
      <c r="H19" s="134">
        <v>1</v>
      </c>
    </row>
    <row r="20" spans="1:8" x14ac:dyDescent="0.25">
      <c r="B20" s="138"/>
      <c r="C20" s="35" t="s">
        <v>175</v>
      </c>
      <c r="D20" s="134">
        <v>1</v>
      </c>
      <c r="E20" s="134">
        <v>1</v>
      </c>
      <c r="F20" s="134">
        <v>0.98</v>
      </c>
      <c r="G20" s="134">
        <v>0.98</v>
      </c>
      <c r="H20" s="134">
        <v>1</v>
      </c>
    </row>
    <row r="21" spans="1:8" x14ac:dyDescent="0.25">
      <c r="B21" s="138"/>
      <c r="C21" s="35" t="s">
        <v>174</v>
      </c>
      <c r="D21" s="134">
        <v>1</v>
      </c>
      <c r="E21" s="134">
        <v>1</v>
      </c>
      <c r="F21" s="134">
        <v>0.99</v>
      </c>
      <c r="G21" s="134">
        <v>0.99</v>
      </c>
      <c r="H21" s="134">
        <v>1</v>
      </c>
    </row>
    <row r="22" spans="1:8" x14ac:dyDescent="0.25">
      <c r="B22" s="138" t="s">
        <v>1</v>
      </c>
      <c r="C22" s="35" t="s">
        <v>176</v>
      </c>
      <c r="D22" s="134">
        <v>1</v>
      </c>
      <c r="E22" s="134">
        <v>1</v>
      </c>
      <c r="F22" s="134">
        <v>1</v>
      </c>
      <c r="G22" s="134">
        <v>1</v>
      </c>
      <c r="H22" s="134">
        <v>1</v>
      </c>
    </row>
    <row r="23" spans="1:8" x14ac:dyDescent="0.25">
      <c r="B23" s="138"/>
      <c r="C23" s="35" t="s">
        <v>175</v>
      </c>
      <c r="D23" s="134">
        <v>1</v>
      </c>
      <c r="E23" s="134">
        <v>1</v>
      </c>
      <c r="F23" s="134">
        <v>1</v>
      </c>
      <c r="G23" s="134">
        <v>1</v>
      </c>
      <c r="H23" s="134">
        <v>1</v>
      </c>
    </row>
    <row r="24" spans="1:8" x14ac:dyDescent="0.25">
      <c r="B24" s="138"/>
      <c r="C24" s="35" t="s">
        <v>174</v>
      </c>
      <c r="D24" s="134">
        <v>1</v>
      </c>
      <c r="E24" s="134">
        <v>1</v>
      </c>
      <c r="F24" s="134">
        <v>0.99</v>
      </c>
      <c r="G24" s="134">
        <v>0.99</v>
      </c>
      <c r="H24" s="134">
        <v>1</v>
      </c>
    </row>
    <row r="25" spans="1:8" x14ac:dyDescent="0.25">
      <c r="B25" s="138" t="s">
        <v>2</v>
      </c>
      <c r="C25" s="35" t="s">
        <v>176</v>
      </c>
      <c r="D25" s="134">
        <v>1</v>
      </c>
      <c r="E25" s="134">
        <v>1</v>
      </c>
      <c r="F25" s="134">
        <v>1</v>
      </c>
      <c r="G25" s="134">
        <v>1</v>
      </c>
      <c r="H25" s="134">
        <v>1</v>
      </c>
    </row>
    <row r="26" spans="1:8" x14ac:dyDescent="0.25">
      <c r="B26" s="138"/>
      <c r="C26" s="35" t="s">
        <v>175</v>
      </c>
      <c r="D26" s="134">
        <v>1</v>
      </c>
      <c r="E26" s="134">
        <v>1</v>
      </c>
      <c r="F26" s="134">
        <v>1</v>
      </c>
      <c r="G26" s="134">
        <v>1</v>
      </c>
      <c r="H26" s="134">
        <v>1</v>
      </c>
    </row>
    <row r="27" spans="1:8" x14ac:dyDescent="0.25">
      <c r="B27" s="138"/>
      <c r="C27" s="35" t="s">
        <v>174</v>
      </c>
      <c r="D27" s="134">
        <v>1</v>
      </c>
      <c r="E27" s="134">
        <v>1</v>
      </c>
      <c r="F27" s="134">
        <v>0.99</v>
      </c>
      <c r="G27" s="134">
        <v>0.99</v>
      </c>
      <c r="H27" s="134">
        <v>1</v>
      </c>
    </row>
    <row r="28" spans="1:8" x14ac:dyDescent="0.25">
      <c r="B28" s="138" t="s">
        <v>3</v>
      </c>
      <c r="C28" s="35" t="s">
        <v>176</v>
      </c>
      <c r="D28" s="134">
        <v>1</v>
      </c>
      <c r="E28" s="134">
        <v>1</v>
      </c>
      <c r="F28" s="134">
        <v>0.78</v>
      </c>
      <c r="G28" s="134">
        <v>1</v>
      </c>
      <c r="H28" s="134">
        <v>1</v>
      </c>
    </row>
    <row r="29" spans="1:8" x14ac:dyDescent="0.25">
      <c r="B29" s="138"/>
      <c r="C29" s="35" t="s">
        <v>175</v>
      </c>
      <c r="D29" s="134">
        <v>1</v>
      </c>
      <c r="E29" s="134">
        <v>1</v>
      </c>
      <c r="F29" s="134">
        <v>0.78</v>
      </c>
      <c r="G29" s="134">
        <v>1</v>
      </c>
      <c r="H29" s="134">
        <v>1</v>
      </c>
    </row>
    <row r="30" spans="1:8" x14ac:dyDescent="0.25">
      <c r="B30" s="138"/>
      <c r="C30" s="35" t="s">
        <v>174</v>
      </c>
      <c r="D30" s="134">
        <v>1</v>
      </c>
      <c r="E30" s="134">
        <v>1</v>
      </c>
      <c r="F30" s="134">
        <v>0.99</v>
      </c>
      <c r="G30" s="134">
        <v>0.99</v>
      </c>
      <c r="H30" s="134">
        <v>1</v>
      </c>
    </row>
    <row r="31" spans="1:8" x14ac:dyDescent="0.25">
      <c r="B31" s="138" t="s">
        <v>4</v>
      </c>
      <c r="C31" s="35" t="s">
        <v>176</v>
      </c>
      <c r="D31" s="134">
        <v>1</v>
      </c>
      <c r="E31" s="134">
        <v>1</v>
      </c>
      <c r="F31" s="134">
        <v>1</v>
      </c>
      <c r="G31" s="134">
        <v>0.78</v>
      </c>
      <c r="H31" s="134">
        <v>1</v>
      </c>
    </row>
    <row r="32" spans="1:8" x14ac:dyDescent="0.25">
      <c r="B32" s="138"/>
      <c r="C32" s="35" t="s">
        <v>175</v>
      </c>
      <c r="D32" s="134">
        <v>1</v>
      </c>
      <c r="E32" s="134">
        <v>1</v>
      </c>
      <c r="F32" s="134">
        <v>1</v>
      </c>
      <c r="G32" s="134">
        <v>0.78</v>
      </c>
      <c r="H32" s="134">
        <v>1</v>
      </c>
    </row>
    <row r="33" spans="1:8" x14ac:dyDescent="0.25">
      <c r="B33" s="138"/>
      <c r="C33" s="35" t="s">
        <v>174</v>
      </c>
      <c r="D33" s="134">
        <v>1</v>
      </c>
      <c r="E33" s="134">
        <v>1</v>
      </c>
      <c r="F33" s="134">
        <v>1</v>
      </c>
      <c r="G33" s="134">
        <v>0.99</v>
      </c>
      <c r="H33" s="134">
        <v>1</v>
      </c>
    </row>
    <row r="34" spans="1:8" x14ac:dyDescent="0.25">
      <c r="B34" s="96" t="s">
        <v>172</v>
      </c>
      <c r="C34" s="35" t="s">
        <v>174</v>
      </c>
      <c r="D34" s="134">
        <v>1</v>
      </c>
      <c r="E34" s="134">
        <v>1</v>
      </c>
      <c r="F34" s="134">
        <v>0.95</v>
      </c>
      <c r="G34" s="134">
        <v>0.95</v>
      </c>
      <c r="H34" s="134">
        <v>1</v>
      </c>
    </row>
    <row r="35" spans="1:8" x14ac:dyDescent="0.25">
      <c r="D35" s="132"/>
      <c r="E35" s="132"/>
      <c r="F35" s="132"/>
      <c r="G35" s="132"/>
      <c r="H35" s="132"/>
    </row>
    <row r="36" spans="1:8" x14ac:dyDescent="0.25">
      <c r="A36" s="97" t="s">
        <v>220</v>
      </c>
      <c r="B36" s="138" t="s">
        <v>32</v>
      </c>
      <c r="C36" s="35" t="s">
        <v>176</v>
      </c>
      <c r="D36" s="134">
        <v>1</v>
      </c>
      <c r="E36" s="134">
        <v>1</v>
      </c>
      <c r="F36" s="134">
        <v>1</v>
      </c>
      <c r="G36" s="134">
        <v>1</v>
      </c>
      <c r="H36" s="134">
        <v>1</v>
      </c>
    </row>
    <row r="37" spans="1:8" x14ac:dyDescent="0.25">
      <c r="B37" s="138"/>
      <c r="C37" s="35" t="s">
        <v>175</v>
      </c>
      <c r="D37" s="134">
        <v>1</v>
      </c>
      <c r="E37" s="134">
        <v>1</v>
      </c>
      <c r="F37" s="134">
        <v>1</v>
      </c>
      <c r="G37" s="134">
        <v>1</v>
      </c>
      <c r="H37" s="134">
        <v>1</v>
      </c>
    </row>
    <row r="38" spans="1:8" x14ac:dyDescent="0.25">
      <c r="B38" s="138"/>
      <c r="C38" s="35" t="s">
        <v>174</v>
      </c>
      <c r="D38" s="134">
        <v>1</v>
      </c>
      <c r="E38" s="134">
        <v>1</v>
      </c>
      <c r="F38" s="134">
        <v>1</v>
      </c>
      <c r="G38" s="134">
        <v>1</v>
      </c>
      <c r="H38" s="134">
        <v>1</v>
      </c>
    </row>
    <row r="39" spans="1:8" x14ac:dyDescent="0.25">
      <c r="B39" s="138" t="s">
        <v>1</v>
      </c>
      <c r="C39" s="35" t="s">
        <v>176</v>
      </c>
      <c r="D39" s="134">
        <v>1</v>
      </c>
      <c r="E39" s="134">
        <v>1</v>
      </c>
      <c r="F39" s="134">
        <v>1</v>
      </c>
      <c r="G39" s="134">
        <v>1</v>
      </c>
      <c r="H39" s="134">
        <v>1</v>
      </c>
    </row>
    <row r="40" spans="1:8" x14ac:dyDescent="0.25">
      <c r="B40" s="138"/>
      <c r="C40" s="35" t="s">
        <v>175</v>
      </c>
      <c r="D40" s="134">
        <v>1</v>
      </c>
      <c r="E40" s="134">
        <v>1</v>
      </c>
      <c r="F40" s="134">
        <v>1</v>
      </c>
      <c r="G40" s="134">
        <v>1</v>
      </c>
      <c r="H40" s="134">
        <v>1</v>
      </c>
    </row>
    <row r="41" spans="1:8" x14ac:dyDescent="0.25">
      <c r="B41" s="138"/>
      <c r="C41" s="35" t="s">
        <v>174</v>
      </c>
      <c r="D41" s="134">
        <v>1</v>
      </c>
      <c r="E41" s="134">
        <v>1</v>
      </c>
      <c r="F41" s="134">
        <v>1</v>
      </c>
      <c r="G41" s="134">
        <v>1</v>
      </c>
      <c r="H41" s="134">
        <v>1</v>
      </c>
    </row>
    <row r="42" spans="1:8" x14ac:dyDescent="0.25">
      <c r="B42" s="138" t="s">
        <v>2</v>
      </c>
      <c r="C42" s="35" t="s">
        <v>176</v>
      </c>
      <c r="D42" s="134">
        <v>1</v>
      </c>
      <c r="E42" s="134">
        <v>1</v>
      </c>
      <c r="F42" s="134">
        <v>1</v>
      </c>
      <c r="G42" s="134">
        <v>1</v>
      </c>
      <c r="H42" s="134">
        <v>1</v>
      </c>
    </row>
    <row r="43" spans="1:8" x14ac:dyDescent="0.25">
      <c r="B43" s="138"/>
      <c r="C43" s="35" t="s">
        <v>175</v>
      </c>
      <c r="D43" s="134">
        <v>1</v>
      </c>
      <c r="E43" s="134">
        <v>1</v>
      </c>
      <c r="F43" s="134">
        <v>1</v>
      </c>
      <c r="G43" s="134">
        <v>1</v>
      </c>
      <c r="H43" s="134">
        <v>1</v>
      </c>
    </row>
    <row r="44" spans="1:8" x14ac:dyDescent="0.25">
      <c r="B44" s="138"/>
      <c r="C44" s="35" t="s">
        <v>174</v>
      </c>
      <c r="D44" s="134">
        <v>1</v>
      </c>
      <c r="E44" s="134">
        <v>1</v>
      </c>
      <c r="F44" s="134">
        <v>1</v>
      </c>
      <c r="G44" s="134">
        <v>1</v>
      </c>
      <c r="H44" s="134">
        <v>1</v>
      </c>
    </row>
    <row r="45" spans="1:8" x14ac:dyDescent="0.25">
      <c r="B45" s="138" t="s">
        <v>3</v>
      </c>
      <c r="C45" s="35" t="s">
        <v>176</v>
      </c>
      <c r="D45" s="134">
        <v>1</v>
      </c>
      <c r="E45" s="134">
        <v>1</v>
      </c>
      <c r="F45" s="134">
        <v>1.82</v>
      </c>
      <c r="G45" s="134">
        <v>1</v>
      </c>
      <c r="H45" s="134">
        <v>1</v>
      </c>
    </row>
    <row r="46" spans="1:8" x14ac:dyDescent="0.25">
      <c r="B46" s="138"/>
      <c r="C46" s="35" t="s">
        <v>175</v>
      </c>
      <c r="D46" s="134">
        <v>1</v>
      </c>
      <c r="E46" s="134">
        <v>1</v>
      </c>
      <c r="F46" s="134">
        <v>1.82</v>
      </c>
      <c r="G46" s="134">
        <v>1</v>
      </c>
      <c r="H46" s="134">
        <v>1</v>
      </c>
    </row>
    <row r="47" spans="1:8" x14ac:dyDescent="0.25">
      <c r="B47" s="138"/>
      <c r="C47" s="35" t="s">
        <v>174</v>
      </c>
      <c r="D47" s="134">
        <v>1</v>
      </c>
      <c r="E47" s="134">
        <v>1</v>
      </c>
      <c r="F47" s="134">
        <v>1</v>
      </c>
      <c r="G47" s="134">
        <v>1</v>
      </c>
      <c r="H47" s="134">
        <v>1</v>
      </c>
    </row>
    <row r="48" spans="1:8" x14ac:dyDescent="0.25">
      <c r="B48" s="138" t="s">
        <v>4</v>
      </c>
      <c r="C48" s="35" t="s">
        <v>176</v>
      </c>
      <c r="D48" s="134">
        <v>1</v>
      </c>
      <c r="E48" s="134">
        <v>1</v>
      </c>
      <c r="F48" s="134">
        <v>1</v>
      </c>
      <c r="G48" s="134">
        <v>1.82</v>
      </c>
      <c r="H48" s="134">
        <v>1</v>
      </c>
    </row>
    <row r="49" spans="2:8" x14ac:dyDescent="0.25">
      <c r="B49" s="138"/>
      <c r="C49" s="35" t="s">
        <v>175</v>
      </c>
      <c r="D49" s="134">
        <v>1</v>
      </c>
      <c r="E49" s="134">
        <v>1</v>
      </c>
      <c r="F49" s="134">
        <v>1</v>
      </c>
      <c r="G49" s="134">
        <v>1.82</v>
      </c>
      <c r="H49" s="134">
        <v>1</v>
      </c>
    </row>
    <row r="50" spans="2:8" x14ac:dyDescent="0.25">
      <c r="B50" s="138"/>
      <c r="C50" s="35" t="s">
        <v>174</v>
      </c>
      <c r="D50" s="134">
        <v>1</v>
      </c>
      <c r="E50" s="134">
        <v>1</v>
      </c>
      <c r="F50" s="134">
        <v>1</v>
      </c>
      <c r="G50" s="134">
        <v>1</v>
      </c>
      <c r="H50" s="134">
        <v>1</v>
      </c>
    </row>
    <row r="51" spans="2:8" x14ac:dyDescent="0.25">
      <c r="B51" s="98" t="s">
        <v>172</v>
      </c>
      <c r="C51" s="35" t="s">
        <v>174</v>
      </c>
      <c r="D51" s="134">
        <v>1.05</v>
      </c>
      <c r="E51" s="134">
        <v>1.05</v>
      </c>
      <c r="F51" s="134">
        <v>1.05</v>
      </c>
      <c r="G51" s="134">
        <v>1.05</v>
      </c>
      <c r="H51" s="134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B2" sqref="B2:F16"/>
    </sheetView>
  </sheetViews>
  <sheetFormatPr defaultColWidth="14.44140625" defaultRowHeight="15.75" customHeight="1" x14ac:dyDescent="0.25"/>
  <cols>
    <col min="1" max="1" width="8.44140625" style="12" customWidth="1"/>
    <col min="2" max="9" width="16.886718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2020</v>
      </c>
      <c r="B2" s="73">
        <v>1130321.25</v>
      </c>
      <c r="C2" s="74">
        <v>1288000</v>
      </c>
      <c r="D2" s="74">
        <v>1815000</v>
      </c>
      <c r="E2" s="74">
        <v>1172000</v>
      </c>
      <c r="F2" s="74">
        <v>795000</v>
      </c>
      <c r="G2" s="22">
        <f t="shared" ref="G2:G40" si="0">C2+D2+E2+F2</f>
        <v>5070000</v>
      </c>
      <c r="H2" s="22">
        <f t="shared" ref="H2:H40" si="1">(B2 + stillbirth*B2/(1000-stillbirth))/(1-abortion)</f>
        <v>1348717.7697354998</v>
      </c>
      <c r="I2" s="22">
        <f>G2-H2</f>
        <v>3721282.2302645002</v>
      </c>
    </row>
    <row r="3" spans="1:9" ht="15.75" customHeight="1" x14ac:dyDescent="0.25">
      <c r="A3" s="7">
        <f t="shared" ref="A3:A40" si="2">IF($A$2+ROW(A3)-2&lt;=end_year,A2+1,"")</f>
        <v>2021</v>
      </c>
      <c r="B3" s="73">
        <v>1166084.7932</v>
      </c>
      <c r="C3" s="74">
        <v>1342000</v>
      </c>
      <c r="D3" s="74">
        <v>1898000</v>
      </c>
      <c r="E3" s="74">
        <v>1211000</v>
      </c>
      <c r="F3" s="74">
        <v>823000</v>
      </c>
      <c r="G3" s="22">
        <f t="shared" si="0"/>
        <v>5274000</v>
      </c>
      <c r="H3" s="22">
        <f t="shared" si="1"/>
        <v>1391391.4133766708</v>
      </c>
      <c r="I3" s="22">
        <f t="shared" ref="I3:I15" si="3">G3-H3</f>
        <v>3882608.5866233292</v>
      </c>
    </row>
    <row r="4" spans="1:9" ht="15.75" customHeight="1" x14ac:dyDescent="0.25">
      <c r="A4" s="7">
        <f t="shared" si="2"/>
        <v>2022</v>
      </c>
      <c r="B4" s="73">
        <v>1202877.5968000002</v>
      </c>
      <c r="C4" s="74">
        <v>1398000</v>
      </c>
      <c r="D4" s="74">
        <v>1986000</v>
      </c>
      <c r="E4" s="74">
        <v>1253000</v>
      </c>
      <c r="F4" s="74">
        <v>854000</v>
      </c>
      <c r="G4" s="22">
        <f t="shared" si="0"/>
        <v>5491000</v>
      </c>
      <c r="H4" s="22">
        <f t="shared" si="1"/>
        <v>1435293.1873313838</v>
      </c>
      <c r="I4" s="22">
        <f t="shared" si="3"/>
        <v>4055706.812668616</v>
      </c>
    </row>
    <row r="5" spans="1:9" ht="15.75" customHeight="1" x14ac:dyDescent="0.25">
      <c r="A5" s="7">
        <f t="shared" si="2"/>
        <v>2023</v>
      </c>
      <c r="B5" s="73">
        <v>1240620.2952000003</v>
      </c>
      <c r="C5" s="74">
        <v>1456000</v>
      </c>
      <c r="D5" s="74">
        <v>2079000</v>
      </c>
      <c r="E5" s="74">
        <v>1298000</v>
      </c>
      <c r="F5" s="74">
        <v>886000</v>
      </c>
      <c r="G5" s="22">
        <f t="shared" si="0"/>
        <v>5719000</v>
      </c>
      <c r="H5" s="22">
        <f t="shared" si="1"/>
        <v>1480328.3912699525</v>
      </c>
      <c r="I5" s="22">
        <f t="shared" si="3"/>
        <v>4238671.6087300479</v>
      </c>
    </row>
    <row r="6" spans="1:9" ht="15.75" customHeight="1" x14ac:dyDescent="0.25">
      <c r="A6" s="7">
        <f t="shared" si="2"/>
        <v>2024</v>
      </c>
      <c r="B6" s="73">
        <v>1279326.1516000004</v>
      </c>
      <c r="C6" s="74">
        <v>1516000</v>
      </c>
      <c r="D6" s="74">
        <v>2176000</v>
      </c>
      <c r="E6" s="74">
        <v>1348000</v>
      </c>
      <c r="F6" s="74">
        <v>918000</v>
      </c>
      <c r="G6" s="22">
        <f t="shared" si="0"/>
        <v>5958000</v>
      </c>
      <c r="H6" s="22">
        <f t="shared" si="1"/>
        <v>1526512.851059159</v>
      </c>
      <c r="I6" s="22">
        <f t="shared" si="3"/>
        <v>4431487.1489408407</v>
      </c>
    </row>
    <row r="7" spans="1:9" ht="15.75" customHeight="1" x14ac:dyDescent="0.25">
      <c r="A7" s="7">
        <f t="shared" si="2"/>
        <v>2025</v>
      </c>
      <c r="B7" s="73">
        <v>1319052.5190000001</v>
      </c>
      <c r="C7" s="74">
        <v>1578000</v>
      </c>
      <c r="D7" s="74">
        <v>2276000</v>
      </c>
      <c r="E7" s="74">
        <v>1403000</v>
      </c>
      <c r="F7" s="74">
        <v>951000</v>
      </c>
      <c r="G7" s="22">
        <f t="shared" si="0"/>
        <v>6208000</v>
      </c>
      <c r="H7" s="22">
        <f t="shared" si="1"/>
        <v>1573915.0012349791</v>
      </c>
      <c r="I7" s="22">
        <f t="shared" si="3"/>
        <v>4634084.9987650206</v>
      </c>
    </row>
    <row r="8" spans="1:9" ht="15.75" customHeight="1" x14ac:dyDescent="0.25">
      <c r="A8" s="7">
        <f t="shared" si="2"/>
        <v>2026</v>
      </c>
      <c r="B8" s="73">
        <v>1358170.7724000001</v>
      </c>
      <c r="C8" s="74">
        <v>1638000</v>
      </c>
      <c r="D8" s="74">
        <v>2377000</v>
      </c>
      <c r="E8" s="74">
        <v>1462000</v>
      </c>
      <c r="F8" s="74">
        <v>982000</v>
      </c>
      <c r="G8" s="22">
        <f t="shared" si="0"/>
        <v>6459000</v>
      </c>
      <c r="H8" s="22">
        <f t="shared" si="1"/>
        <v>1620591.5398576017</v>
      </c>
      <c r="I8" s="22">
        <f t="shared" si="3"/>
        <v>4838408.4601423983</v>
      </c>
    </row>
    <row r="9" spans="1:9" ht="15.75" customHeight="1" x14ac:dyDescent="0.25">
      <c r="A9" s="7">
        <f t="shared" si="2"/>
        <v>2027</v>
      </c>
      <c r="B9" s="73">
        <v>1398170.9398000003</v>
      </c>
      <c r="C9" s="74">
        <v>1701000</v>
      </c>
      <c r="D9" s="74">
        <v>2482000</v>
      </c>
      <c r="E9" s="74">
        <v>1528000</v>
      </c>
      <c r="F9" s="74">
        <v>1014000</v>
      </c>
      <c r="G9" s="22">
        <f t="shared" si="0"/>
        <v>6725000</v>
      </c>
      <c r="H9" s="22">
        <f t="shared" si="1"/>
        <v>1668320.3926636293</v>
      </c>
      <c r="I9" s="22">
        <f t="shared" si="3"/>
        <v>5056679.6073363703</v>
      </c>
    </row>
    <row r="10" spans="1:9" ht="15.75" customHeight="1" x14ac:dyDescent="0.25">
      <c r="A10" s="7">
        <f t="shared" si="2"/>
        <v>2028</v>
      </c>
      <c r="B10" s="73">
        <v>1439011.1148000001</v>
      </c>
      <c r="C10" s="74">
        <v>1765000</v>
      </c>
      <c r="D10" s="74">
        <v>2590000</v>
      </c>
      <c r="E10" s="74">
        <v>1599000</v>
      </c>
      <c r="F10" s="74">
        <v>1049000</v>
      </c>
      <c r="G10" s="22">
        <f t="shared" si="0"/>
        <v>7003000</v>
      </c>
      <c r="H10" s="22">
        <f t="shared" si="1"/>
        <v>1717051.5562523941</v>
      </c>
      <c r="I10" s="22">
        <f t="shared" si="3"/>
        <v>5285948.4437476061</v>
      </c>
    </row>
    <row r="11" spans="1:9" ht="15.75" customHeight="1" x14ac:dyDescent="0.25">
      <c r="A11" s="7">
        <f t="shared" si="2"/>
        <v>2029</v>
      </c>
      <c r="B11" s="73">
        <v>1480649.3910000005</v>
      </c>
      <c r="C11" s="74">
        <v>1832000</v>
      </c>
      <c r="D11" s="74">
        <v>2702000</v>
      </c>
      <c r="E11" s="74">
        <v>1674000</v>
      </c>
      <c r="F11" s="74">
        <v>1084000</v>
      </c>
      <c r="G11" s="22">
        <f t="shared" si="0"/>
        <v>7292000</v>
      </c>
      <c r="H11" s="22">
        <f t="shared" si="1"/>
        <v>1766735.027223231</v>
      </c>
      <c r="I11" s="22">
        <f t="shared" si="3"/>
        <v>5525264.9727767687</v>
      </c>
    </row>
    <row r="12" spans="1:9" ht="15.75" customHeight="1" x14ac:dyDescent="0.25">
      <c r="A12" s="7">
        <f t="shared" si="2"/>
        <v>2030</v>
      </c>
      <c r="B12" s="73">
        <v>1523043.862</v>
      </c>
      <c r="C12" s="74">
        <v>1901000</v>
      </c>
      <c r="D12" s="74">
        <v>2817000</v>
      </c>
      <c r="E12" s="74">
        <v>1754000</v>
      </c>
      <c r="F12" s="74">
        <v>1121000</v>
      </c>
      <c r="G12" s="22">
        <f t="shared" si="0"/>
        <v>7593000</v>
      </c>
      <c r="H12" s="22">
        <f t="shared" si="1"/>
        <v>1817320.802175472</v>
      </c>
      <c r="I12" s="22">
        <f t="shared" si="3"/>
        <v>5775679.1978245284</v>
      </c>
    </row>
    <row r="13" spans="1:9" ht="15.75" customHeight="1" x14ac:dyDescent="0.25">
      <c r="A13" s="7" t="str">
        <f t="shared" si="2"/>
        <v/>
      </c>
      <c r="B13" s="73">
        <v>1233000</v>
      </c>
      <c r="C13" s="74">
        <v>1734000</v>
      </c>
      <c r="D13" s="74">
        <v>1134000</v>
      </c>
      <c r="E13" s="74">
        <v>768000</v>
      </c>
      <c r="F13" s="74">
        <v>8.2598497000000007E-2</v>
      </c>
      <c r="G13" s="22">
        <f t="shared" si="0"/>
        <v>3636000.0825984972</v>
      </c>
      <c r="H13" s="22">
        <f t="shared" si="1"/>
        <v>1471235.730624255</v>
      </c>
      <c r="I13" s="22">
        <f t="shared" si="3"/>
        <v>2164764.3519742424</v>
      </c>
    </row>
    <row r="14" spans="1:9" ht="15.75" customHeight="1" x14ac:dyDescent="0.25">
      <c r="A14" s="7" t="str">
        <f t="shared" si="2"/>
        <v/>
      </c>
      <c r="B14" s="73"/>
      <c r="C14" s="74"/>
      <c r="D14" s="74"/>
      <c r="E14" s="74"/>
      <c r="F14" s="74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7" t="str">
        <f t="shared" si="2"/>
        <v/>
      </c>
      <c r="B15" s="73"/>
      <c r="C15" s="74"/>
      <c r="D15" s="74"/>
      <c r="E15" s="74"/>
      <c r="F15" s="74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7" t="str">
        <f t="shared" si="2"/>
        <v/>
      </c>
      <c r="B16" s="73"/>
      <c r="C16" s="74"/>
      <c r="D16" s="74"/>
      <c r="E16" s="74"/>
      <c r="F16" s="74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3"/>
      <c r="C17" s="74"/>
      <c r="D17" s="74"/>
      <c r="E17" s="74"/>
      <c r="F17" s="74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7" t="str">
        <f t="shared" si="2"/>
        <v/>
      </c>
      <c r="B18" s="73"/>
      <c r="C18" s="74"/>
      <c r="D18" s="74"/>
      <c r="E18" s="74"/>
      <c r="F18" s="74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3"/>
      <c r="C19" s="74"/>
      <c r="D19" s="74"/>
      <c r="E19" s="74"/>
      <c r="F19" s="74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3"/>
      <c r="C20" s="74"/>
      <c r="D20" s="74"/>
      <c r="E20" s="74"/>
      <c r="F20" s="74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3"/>
      <c r="C21" s="74"/>
      <c r="D21" s="74"/>
      <c r="E21" s="74"/>
      <c r="F21" s="74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3"/>
      <c r="C22" s="74"/>
      <c r="D22" s="74"/>
      <c r="E22" s="74"/>
      <c r="F22" s="74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3"/>
      <c r="C23" s="74"/>
      <c r="D23" s="74"/>
      <c r="E23" s="74"/>
      <c r="F23" s="74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3"/>
      <c r="C24" s="74"/>
      <c r="D24" s="74"/>
      <c r="E24" s="74"/>
      <c r="F24" s="74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3"/>
      <c r="C25" s="74"/>
      <c r="D25" s="74"/>
      <c r="E25" s="74"/>
      <c r="F25" s="74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3"/>
      <c r="C26" s="74"/>
      <c r="D26" s="74"/>
      <c r="E26" s="74"/>
      <c r="F26" s="74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3"/>
      <c r="C27" s="74"/>
      <c r="D27" s="74"/>
      <c r="E27" s="74"/>
      <c r="F27" s="74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3"/>
      <c r="C28" s="74"/>
      <c r="D28" s="74"/>
      <c r="E28" s="74"/>
      <c r="F28" s="74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3"/>
      <c r="C29" s="74"/>
      <c r="D29" s="74"/>
      <c r="E29" s="74"/>
      <c r="F29" s="74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3"/>
      <c r="C30" s="74"/>
      <c r="D30" s="74"/>
      <c r="E30" s="74"/>
      <c r="F30" s="74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3"/>
      <c r="C31" s="74"/>
      <c r="D31" s="74"/>
      <c r="E31" s="74"/>
      <c r="F31" s="74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3"/>
      <c r="C32" s="74"/>
      <c r="D32" s="74"/>
      <c r="E32" s="74"/>
      <c r="F32" s="74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3"/>
      <c r="C33" s="74"/>
      <c r="D33" s="74"/>
      <c r="E33" s="74"/>
      <c r="F33" s="74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3"/>
      <c r="C34" s="74"/>
      <c r="D34" s="74"/>
      <c r="E34" s="74"/>
      <c r="F34" s="74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3"/>
      <c r="C35" s="74"/>
      <c r="D35" s="74"/>
      <c r="E35" s="74"/>
      <c r="F35" s="74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3"/>
      <c r="C36" s="74"/>
      <c r="D36" s="74"/>
      <c r="E36" s="74"/>
      <c r="F36" s="74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3"/>
      <c r="C37" s="74"/>
      <c r="D37" s="74"/>
      <c r="E37" s="74"/>
      <c r="F37" s="74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3"/>
      <c r="C38" s="74"/>
      <c r="D38" s="74"/>
      <c r="E38" s="74"/>
      <c r="F38" s="74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3"/>
      <c r="C39" s="74"/>
      <c r="D39" s="74"/>
      <c r="E39" s="74"/>
      <c r="F39" s="74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3"/>
      <c r="C40" s="74"/>
      <c r="D40" s="74"/>
      <c r="E40" s="74"/>
      <c r="F40" s="74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8"/>
  <sheetViews>
    <sheetView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00" customFormat="1" ht="18.75" customHeight="1" x14ac:dyDescent="0.25">
      <c r="A1" s="99" t="s">
        <v>221</v>
      </c>
    </row>
    <row r="2" spans="1:7" ht="15.75" customHeight="1" x14ac:dyDescent="0.25">
      <c r="B2" s="101"/>
      <c r="C2" s="102" t="s">
        <v>26</v>
      </c>
      <c r="D2" s="103" t="s">
        <v>12</v>
      </c>
      <c r="E2" s="103" t="s">
        <v>11</v>
      </c>
      <c r="F2" s="103" t="s">
        <v>9</v>
      </c>
    </row>
    <row r="3" spans="1:7" ht="15.75" customHeight="1" x14ac:dyDescent="0.25">
      <c r="A3" s="40" t="s">
        <v>222</v>
      </c>
      <c r="B3" s="104"/>
      <c r="C3" s="105"/>
      <c r="D3" s="106"/>
      <c r="E3" s="106"/>
      <c r="F3" s="106"/>
    </row>
    <row r="4" spans="1:7" ht="15.75" customHeight="1" x14ac:dyDescent="0.25">
      <c r="B4" s="107" t="s">
        <v>75</v>
      </c>
      <c r="C4" s="135">
        <v>1</v>
      </c>
      <c r="D4" s="136">
        <v>1</v>
      </c>
      <c r="E4" s="136">
        <v>1</v>
      </c>
      <c r="F4" s="136">
        <v>1</v>
      </c>
    </row>
    <row r="5" spans="1:7" ht="15.75" customHeight="1" x14ac:dyDescent="0.25">
      <c r="B5" s="107" t="s">
        <v>76</v>
      </c>
      <c r="C5" s="135">
        <v>1</v>
      </c>
      <c r="D5" s="136">
        <v>1.41</v>
      </c>
      <c r="E5" s="136">
        <v>1.49</v>
      </c>
      <c r="F5" s="136">
        <v>3.03</v>
      </c>
    </row>
    <row r="6" spans="1:7" ht="15.75" customHeight="1" x14ac:dyDescent="0.25">
      <c r="B6" s="107" t="s">
        <v>77</v>
      </c>
      <c r="C6" s="135">
        <v>1</v>
      </c>
      <c r="D6" s="136">
        <v>1.18</v>
      </c>
      <c r="E6" s="136">
        <v>1.1000000000000001</v>
      </c>
      <c r="F6" s="136">
        <v>1.77</v>
      </c>
    </row>
    <row r="7" spans="1:7" ht="15.75" customHeight="1" x14ac:dyDescent="0.25">
      <c r="B7" s="107" t="s">
        <v>78</v>
      </c>
      <c r="C7" s="135">
        <v>1</v>
      </c>
      <c r="D7" s="136">
        <v>1</v>
      </c>
      <c r="E7" s="136">
        <v>1</v>
      </c>
      <c r="F7" s="136">
        <v>1</v>
      </c>
    </row>
    <row r="8" spans="1:7" ht="15.75" customHeight="1" x14ac:dyDescent="0.25">
      <c r="C8" s="108"/>
      <c r="D8" s="95"/>
      <c r="E8" s="95"/>
      <c r="F8" s="95"/>
    </row>
    <row r="9" spans="1:7" ht="15.75" customHeight="1" x14ac:dyDescent="0.25">
      <c r="A9" s="40" t="s">
        <v>223</v>
      </c>
      <c r="C9" s="135">
        <v>1</v>
      </c>
      <c r="D9" s="136">
        <v>1.53</v>
      </c>
      <c r="E9" s="136">
        <v>1.32</v>
      </c>
      <c r="F9" s="136">
        <v>1.53</v>
      </c>
      <c r="G9" s="109"/>
    </row>
    <row r="10" spans="1:7" ht="15.75" customHeight="1" x14ac:dyDescent="0.25">
      <c r="C10" s="108"/>
      <c r="D10" s="95"/>
      <c r="E10" s="95"/>
      <c r="F10" s="95"/>
      <c r="G10" s="109"/>
    </row>
    <row r="11" spans="1:7" s="100" customFormat="1" ht="15" customHeight="1" x14ac:dyDescent="0.25">
      <c r="A11" s="99" t="s">
        <v>224</v>
      </c>
      <c r="C11" s="110"/>
      <c r="D11" s="111"/>
      <c r="E11" s="111"/>
      <c r="F11" s="111"/>
      <c r="G11" s="112"/>
    </row>
    <row r="12" spans="1:7" ht="15.75" customHeight="1" x14ac:dyDescent="0.25">
      <c r="A12" s="40" t="s">
        <v>225</v>
      </c>
      <c r="C12" s="108"/>
      <c r="D12" s="95"/>
      <c r="E12" s="95"/>
      <c r="F12" s="95"/>
      <c r="G12" s="109"/>
    </row>
    <row r="13" spans="1:7" ht="15.75" customHeight="1" x14ac:dyDescent="0.25">
      <c r="B13" s="113" t="s">
        <v>226</v>
      </c>
      <c r="C13" s="135">
        <v>1</v>
      </c>
      <c r="D13" s="136">
        <v>5</v>
      </c>
      <c r="E13" s="136">
        <v>6.4</v>
      </c>
      <c r="F13" s="136">
        <v>46.5</v>
      </c>
      <c r="G13" s="109"/>
    </row>
    <row r="14" spans="1:7" ht="15.75" customHeight="1" x14ac:dyDescent="0.25">
      <c r="B14" s="113" t="s">
        <v>227</v>
      </c>
      <c r="C14" s="135">
        <v>1</v>
      </c>
      <c r="D14" s="136">
        <v>2.52</v>
      </c>
      <c r="E14" s="136">
        <v>1.96</v>
      </c>
      <c r="F14" s="136">
        <v>4.1900000000000004</v>
      </c>
      <c r="G14" s="109"/>
    </row>
    <row r="15" spans="1:7" ht="15.75" customHeight="1" x14ac:dyDescent="0.25">
      <c r="B15" s="113" t="s">
        <v>228</v>
      </c>
      <c r="C15" s="135">
        <v>1</v>
      </c>
      <c r="D15" s="136">
        <v>2.52</v>
      </c>
      <c r="E15" s="136">
        <v>1.96</v>
      </c>
      <c r="F15" s="136">
        <v>4.1900000000000004</v>
      </c>
      <c r="G15" s="109"/>
    </row>
    <row r="16" spans="1:7" ht="15.75" customHeight="1" x14ac:dyDescent="0.25">
      <c r="A16" s="40"/>
      <c r="B16" s="113"/>
      <c r="C16" s="114"/>
      <c r="D16" s="95"/>
      <c r="E16" s="95"/>
      <c r="F16" s="95"/>
      <c r="G16" s="109"/>
    </row>
    <row r="17" spans="1:7" ht="15.75" customHeight="1" x14ac:dyDescent="0.25">
      <c r="A17" s="40" t="s">
        <v>229</v>
      </c>
      <c r="B17" s="104"/>
      <c r="C17" s="115"/>
      <c r="D17" s="116"/>
      <c r="E17" s="116"/>
      <c r="F17" s="116"/>
      <c r="G17" s="109"/>
    </row>
    <row r="18" spans="1:7" ht="15.75" customHeight="1" x14ac:dyDescent="0.25">
      <c r="B18" s="117" t="s">
        <v>73</v>
      </c>
      <c r="C18" s="135">
        <v>1</v>
      </c>
      <c r="D18" s="136">
        <v>1</v>
      </c>
      <c r="E18" s="136">
        <v>1</v>
      </c>
      <c r="F18" s="136">
        <v>1</v>
      </c>
      <c r="G18" s="109"/>
    </row>
    <row r="19" spans="1:7" ht="15.75" customHeight="1" x14ac:dyDescent="0.25">
      <c r="B19" s="117" t="s">
        <v>7</v>
      </c>
      <c r="C19" s="135">
        <v>1</v>
      </c>
      <c r="D19" s="136">
        <v>2.0699999999999998</v>
      </c>
      <c r="E19" s="136">
        <v>8.02</v>
      </c>
      <c r="F19" s="136">
        <v>11.54</v>
      </c>
      <c r="G19" s="109"/>
    </row>
    <row r="20" spans="1:7" ht="15.75" customHeight="1" x14ac:dyDescent="0.25">
      <c r="B20" s="117" t="s">
        <v>8</v>
      </c>
      <c r="C20" s="135">
        <v>1</v>
      </c>
      <c r="D20" s="136">
        <v>2.0699999999999998</v>
      </c>
      <c r="E20" s="136">
        <v>8.02</v>
      </c>
      <c r="F20" s="136">
        <v>11.54</v>
      </c>
      <c r="G20" s="109"/>
    </row>
    <row r="21" spans="1:7" ht="15.75" customHeight="1" x14ac:dyDescent="0.25">
      <c r="B21" s="117" t="s">
        <v>10</v>
      </c>
      <c r="C21" s="135">
        <v>1</v>
      </c>
      <c r="D21" s="136">
        <v>2.0699999999999998</v>
      </c>
      <c r="E21" s="136">
        <v>8.02</v>
      </c>
      <c r="F21" s="136">
        <v>11.54</v>
      </c>
      <c r="G21" s="109"/>
    </row>
    <row r="22" spans="1:7" ht="15.75" customHeight="1" x14ac:dyDescent="0.25">
      <c r="B22" s="117" t="s">
        <v>13</v>
      </c>
      <c r="C22" s="135">
        <v>1</v>
      </c>
      <c r="D22" s="136">
        <v>1</v>
      </c>
      <c r="E22" s="136">
        <v>999.99</v>
      </c>
      <c r="F22" s="136">
        <v>999.99</v>
      </c>
    </row>
    <row r="23" spans="1:7" ht="15.75" customHeight="1" x14ac:dyDescent="0.25">
      <c r="B23" s="117" t="s">
        <v>14</v>
      </c>
      <c r="C23" s="135">
        <v>1</v>
      </c>
      <c r="D23" s="136">
        <v>1</v>
      </c>
      <c r="E23" s="136">
        <v>1</v>
      </c>
      <c r="F23" s="136">
        <v>1</v>
      </c>
    </row>
    <row r="24" spans="1:7" ht="15.75" customHeight="1" x14ac:dyDescent="0.25">
      <c r="B24" s="117" t="s">
        <v>27</v>
      </c>
      <c r="C24" s="135">
        <v>1</v>
      </c>
      <c r="D24" s="136">
        <v>1</v>
      </c>
      <c r="E24" s="136">
        <v>1</v>
      </c>
      <c r="F24" s="136">
        <v>1</v>
      </c>
    </row>
    <row r="25" spans="1:7" ht="15.75" customHeight="1" x14ac:dyDescent="0.25">
      <c r="B25" s="117" t="s">
        <v>15</v>
      </c>
      <c r="C25" s="135">
        <v>1</v>
      </c>
      <c r="D25" s="136">
        <v>1</v>
      </c>
      <c r="E25" s="136">
        <v>1</v>
      </c>
      <c r="F25" s="136">
        <v>1</v>
      </c>
    </row>
    <row r="26" spans="1:7" ht="15.75" customHeight="1" x14ac:dyDescent="0.25">
      <c r="B26" s="113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P111"/>
  <sheetViews>
    <sheetView topLeftCell="A75" zoomScaleNormal="100" workbookViewId="0">
      <selection activeCell="F8" sqref="F8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00" customFormat="1" x14ac:dyDescent="0.25">
      <c r="A1" s="99" t="s">
        <v>230</v>
      </c>
    </row>
    <row r="2" spans="1:16" x14ac:dyDescent="0.25">
      <c r="A2" s="118" t="s">
        <v>211</v>
      </c>
      <c r="B2" s="119" t="s">
        <v>231</v>
      </c>
      <c r="C2" s="119" t="s">
        <v>232</v>
      </c>
      <c r="D2" s="103" t="s">
        <v>1</v>
      </c>
      <c r="E2" s="103" t="s">
        <v>2</v>
      </c>
      <c r="F2" s="103" t="s">
        <v>3</v>
      </c>
      <c r="G2" s="103" t="s">
        <v>4</v>
      </c>
      <c r="H2" s="103" t="s">
        <v>5</v>
      </c>
      <c r="I2" s="120"/>
      <c r="J2" s="120"/>
      <c r="K2" s="120"/>
      <c r="L2" s="120"/>
      <c r="M2" s="120"/>
      <c r="N2" s="120"/>
      <c r="O2" s="120"/>
      <c r="P2" s="120"/>
    </row>
    <row r="3" spans="1:16" x14ac:dyDescent="0.25">
      <c r="A3" s="40"/>
      <c r="B3" s="35" t="s">
        <v>71</v>
      </c>
      <c r="C3" s="43" t="s">
        <v>233</v>
      </c>
      <c r="D3" s="135">
        <v>1</v>
      </c>
      <c r="E3" s="135">
        <v>1</v>
      </c>
      <c r="F3" s="135">
        <v>1</v>
      </c>
      <c r="G3" s="135">
        <v>1</v>
      </c>
      <c r="H3" s="135">
        <v>1</v>
      </c>
      <c r="I3" s="118"/>
      <c r="J3" s="118"/>
      <c r="K3" s="118"/>
      <c r="L3" s="118"/>
      <c r="M3" s="118"/>
      <c r="N3" s="118"/>
      <c r="O3" s="118"/>
      <c r="P3" s="118"/>
    </row>
    <row r="4" spans="1:16" x14ac:dyDescent="0.25">
      <c r="C4" s="43" t="s">
        <v>234</v>
      </c>
      <c r="D4" s="136">
        <v>1</v>
      </c>
      <c r="E4" s="136">
        <v>1.67</v>
      </c>
      <c r="F4" s="136">
        <v>1.67</v>
      </c>
      <c r="G4" s="136">
        <v>1.67</v>
      </c>
      <c r="H4" s="136">
        <v>1.67</v>
      </c>
      <c r="I4" s="118"/>
      <c r="J4" s="118"/>
      <c r="K4" s="118"/>
      <c r="L4" s="118"/>
      <c r="M4" s="118"/>
      <c r="N4" s="118"/>
      <c r="O4" s="118"/>
      <c r="P4" s="118"/>
    </row>
    <row r="5" spans="1:16" x14ac:dyDescent="0.25">
      <c r="C5" s="43" t="s">
        <v>235</v>
      </c>
      <c r="D5" s="136">
        <v>1</v>
      </c>
      <c r="E5" s="136">
        <v>2.38</v>
      </c>
      <c r="F5" s="136">
        <v>2.38</v>
      </c>
      <c r="G5" s="136">
        <v>2.38</v>
      </c>
      <c r="H5" s="136">
        <v>2.38</v>
      </c>
      <c r="I5" s="118"/>
      <c r="J5" s="118"/>
      <c r="K5" s="118"/>
      <c r="L5" s="118"/>
      <c r="M5" s="118"/>
      <c r="N5" s="118"/>
      <c r="O5" s="118"/>
      <c r="P5" s="118"/>
    </row>
    <row r="6" spans="1:16" x14ac:dyDescent="0.25">
      <c r="C6" s="43" t="s">
        <v>236</v>
      </c>
      <c r="D6" s="136">
        <v>1</v>
      </c>
      <c r="E6" s="136">
        <v>6.33</v>
      </c>
      <c r="F6" s="136">
        <v>6.33</v>
      </c>
      <c r="G6" s="136">
        <v>6.33</v>
      </c>
      <c r="H6" s="136">
        <v>6.33</v>
      </c>
      <c r="I6" s="118"/>
      <c r="J6" s="118"/>
      <c r="K6" s="118"/>
      <c r="L6" s="118"/>
      <c r="M6" s="118"/>
      <c r="N6" s="118"/>
      <c r="O6" s="118"/>
      <c r="P6" s="118"/>
    </row>
    <row r="7" spans="1:16" x14ac:dyDescent="0.25">
      <c r="B7" s="35" t="s">
        <v>16</v>
      </c>
      <c r="C7" s="43" t="s">
        <v>233</v>
      </c>
      <c r="D7" s="135">
        <v>1</v>
      </c>
      <c r="E7" s="135">
        <v>1</v>
      </c>
      <c r="F7" s="135">
        <v>1</v>
      </c>
      <c r="G7" s="135">
        <v>1</v>
      </c>
      <c r="H7" s="135">
        <v>1</v>
      </c>
      <c r="I7" s="118"/>
      <c r="J7" s="118"/>
      <c r="K7" s="118"/>
      <c r="L7" s="118"/>
      <c r="M7" s="118"/>
      <c r="N7" s="118"/>
      <c r="O7" s="118"/>
      <c r="P7" s="118"/>
    </row>
    <row r="8" spans="1:16" x14ac:dyDescent="0.25">
      <c r="C8" s="43" t="s">
        <v>234</v>
      </c>
      <c r="D8" s="136">
        <v>1</v>
      </c>
      <c r="E8" s="136">
        <v>1.55</v>
      </c>
      <c r="F8" s="136">
        <v>1.55</v>
      </c>
      <c r="G8" s="136">
        <v>1.55</v>
      </c>
      <c r="H8" s="136">
        <v>1.55</v>
      </c>
      <c r="I8" s="118"/>
      <c r="J8" s="118"/>
      <c r="K8" s="118"/>
      <c r="L8" s="118"/>
      <c r="M8" s="118"/>
      <c r="N8" s="118"/>
      <c r="O8" s="118"/>
      <c r="P8" s="118"/>
    </row>
    <row r="9" spans="1:16" x14ac:dyDescent="0.25">
      <c r="C9" s="43" t="s">
        <v>235</v>
      </c>
      <c r="D9" s="136">
        <v>1</v>
      </c>
      <c r="E9" s="136">
        <v>2.1800000000000002</v>
      </c>
      <c r="F9" s="136">
        <v>2.1800000000000002</v>
      </c>
      <c r="G9" s="136">
        <v>2.1800000000000002</v>
      </c>
      <c r="H9" s="136">
        <v>2.1800000000000002</v>
      </c>
      <c r="I9" s="118"/>
      <c r="J9" s="118"/>
      <c r="K9" s="118"/>
      <c r="L9" s="118"/>
      <c r="M9" s="118"/>
      <c r="N9" s="118"/>
      <c r="O9" s="118"/>
      <c r="P9" s="118"/>
    </row>
    <row r="10" spans="1:16" x14ac:dyDescent="0.25">
      <c r="C10" s="43" t="s">
        <v>236</v>
      </c>
      <c r="D10" s="136">
        <v>1</v>
      </c>
      <c r="E10" s="136">
        <v>6.39</v>
      </c>
      <c r="F10" s="136">
        <v>6.39</v>
      </c>
      <c r="G10" s="136">
        <v>6.39</v>
      </c>
      <c r="H10" s="136">
        <v>6.39</v>
      </c>
      <c r="I10" s="118"/>
      <c r="J10" s="118"/>
      <c r="K10" s="118"/>
      <c r="L10" s="118"/>
      <c r="M10" s="118"/>
      <c r="N10" s="118"/>
      <c r="O10" s="118"/>
      <c r="P10" s="118"/>
    </row>
    <row r="11" spans="1:16" x14ac:dyDescent="0.25">
      <c r="B11" s="35" t="s">
        <v>18</v>
      </c>
      <c r="C11" s="43" t="s">
        <v>233</v>
      </c>
      <c r="D11" s="135">
        <v>1</v>
      </c>
      <c r="E11" s="135">
        <v>1</v>
      </c>
      <c r="F11" s="135">
        <v>1</v>
      </c>
      <c r="G11" s="135">
        <v>1</v>
      </c>
      <c r="H11" s="135">
        <v>1</v>
      </c>
      <c r="I11" s="118"/>
      <c r="J11" s="118"/>
      <c r="K11" s="118"/>
      <c r="L11" s="118"/>
      <c r="M11" s="118"/>
      <c r="N11" s="118"/>
      <c r="O11" s="118"/>
      <c r="P11" s="118"/>
    </row>
    <row r="12" spans="1:16" x14ac:dyDescent="0.25">
      <c r="C12" s="43" t="s">
        <v>234</v>
      </c>
      <c r="D12" s="136">
        <v>1</v>
      </c>
      <c r="E12" s="136">
        <v>1</v>
      </c>
      <c r="F12" s="136">
        <v>1</v>
      </c>
      <c r="G12" s="136">
        <v>1</v>
      </c>
      <c r="H12" s="136">
        <v>1</v>
      </c>
      <c r="I12" s="118"/>
      <c r="J12" s="118"/>
      <c r="K12" s="118"/>
      <c r="L12" s="118"/>
      <c r="M12" s="118"/>
      <c r="N12" s="118"/>
      <c r="O12" s="118"/>
      <c r="P12" s="118"/>
    </row>
    <row r="13" spans="1:16" x14ac:dyDescent="0.25">
      <c r="C13" s="43" t="s">
        <v>235</v>
      </c>
      <c r="D13" s="136">
        <v>1</v>
      </c>
      <c r="E13" s="136">
        <v>2.79</v>
      </c>
      <c r="F13" s="136">
        <v>2.79</v>
      </c>
      <c r="G13" s="136">
        <v>2.79</v>
      </c>
      <c r="H13" s="136">
        <v>2.79</v>
      </c>
      <c r="I13" s="118"/>
      <c r="J13" s="118"/>
      <c r="K13" s="118"/>
      <c r="L13" s="118"/>
      <c r="M13" s="118"/>
      <c r="N13" s="118"/>
      <c r="O13" s="118"/>
      <c r="P13" s="118"/>
    </row>
    <row r="14" spans="1:16" x14ac:dyDescent="0.25">
      <c r="C14" s="43" t="s">
        <v>236</v>
      </c>
      <c r="D14" s="136">
        <v>1</v>
      </c>
      <c r="E14" s="136">
        <v>6.01</v>
      </c>
      <c r="F14" s="136">
        <v>6.01</v>
      </c>
      <c r="G14" s="136">
        <v>6.01</v>
      </c>
      <c r="H14" s="136">
        <v>6.01</v>
      </c>
      <c r="I14" s="118"/>
      <c r="J14" s="118"/>
      <c r="K14" s="118"/>
      <c r="L14" s="118"/>
      <c r="M14" s="118"/>
      <c r="N14" s="118"/>
      <c r="O14" s="118"/>
      <c r="P14" s="118"/>
    </row>
    <row r="15" spans="1:16" x14ac:dyDescent="0.25">
      <c r="B15" s="35" t="s">
        <v>19</v>
      </c>
      <c r="C15" s="43" t="s">
        <v>233</v>
      </c>
      <c r="D15" s="135">
        <v>1</v>
      </c>
      <c r="E15" s="135">
        <v>1</v>
      </c>
      <c r="F15" s="135">
        <v>1</v>
      </c>
      <c r="G15" s="135">
        <v>1</v>
      </c>
      <c r="H15" s="135">
        <v>1</v>
      </c>
      <c r="I15" s="118"/>
      <c r="J15" s="118"/>
      <c r="K15" s="118"/>
      <c r="L15" s="118"/>
      <c r="M15" s="118"/>
      <c r="N15" s="118"/>
      <c r="O15" s="118"/>
      <c r="P15" s="118"/>
    </row>
    <row r="16" spans="1:16" x14ac:dyDescent="0.25">
      <c r="C16" s="43" t="s">
        <v>234</v>
      </c>
      <c r="D16" s="136">
        <v>1</v>
      </c>
      <c r="E16" s="136">
        <v>1</v>
      </c>
      <c r="F16" s="136">
        <v>1</v>
      </c>
      <c r="G16" s="136">
        <v>1</v>
      </c>
      <c r="H16" s="136">
        <v>1</v>
      </c>
      <c r="I16" s="118"/>
      <c r="J16" s="118"/>
      <c r="K16" s="118"/>
      <c r="L16" s="118"/>
      <c r="M16" s="118"/>
      <c r="N16" s="118"/>
      <c r="O16" s="118"/>
      <c r="P16" s="118"/>
    </row>
    <row r="17" spans="1:16" x14ac:dyDescent="0.25">
      <c r="C17" s="43" t="s">
        <v>235</v>
      </c>
      <c r="D17" s="136">
        <v>1</v>
      </c>
      <c r="E17" s="136">
        <v>1</v>
      </c>
      <c r="F17" s="136">
        <v>1</v>
      </c>
      <c r="G17" s="136">
        <v>1</v>
      </c>
      <c r="H17" s="136">
        <v>1</v>
      </c>
      <c r="I17" s="118"/>
      <c r="J17" s="118"/>
      <c r="K17" s="118"/>
      <c r="L17" s="118"/>
      <c r="M17" s="118"/>
      <c r="N17" s="118"/>
      <c r="O17" s="118"/>
      <c r="P17" s="118"/>
    </row>
    <row r="18" spans="1:16" ht="13.95" customHeight="1" x14ac:dyDescent="0.25">
      <c r="C18" s="43" t="s">
        <v>236</v>
      </c>
      <c r="D18" s="136">
        <v>1</v>
      </c>
      <c r="E18" s="136">
        <v>1</v>
      </c>
      <c r="F18" s="136">
        <v>1</v>
      </c>
      <c r="G18" s="136">
        <v>1</v>
      </c>
      <c r="H18" s="136">
        <v>1</v>
      </c>
      <c r="I18" s="118"/>
      <c r="J18" s="118"/>
      <c r="K18" s="118"/>
      <c r="L18" s="118"/>
      <c r="M18" s="118"/>
      <c r="N18" s="118"/>
      <c r="O18" s="118"/>
      <c r="P18" s="118"/>
    </row>
    <row r="19" spans="1:16" x14ac:dyDescent="0.25">
      <c r="B19" s="36" t="s">
        <v>17</v>
      </c>
      <c r="C19" s="43" t="s">
        <v>233</v>
      </c>
      <c r="D19" s="135">
        <v>1</v>
      </c>
      <c r="E19" s="135">
        <v>1</v>
      </c>
      <c r="F19" s="135">
        <v>1</v>
      </c>
      <c r="G19" s="135">
        <v>1</v>
      </c>
      <c r="H19" s="135">
        <v>1</v>
      </c>
      <c r="I19" s="118"/>
      <c r="J19" s="118"/>
      <c r="K19" s="118"/>
      <c r="L19" s="118"/>
      <c r="M19" s="118"/>
      <c r="N19" s="118"/>
      <c r="O19" s="118"/>
      <c r="P19" s="118"/>
    </row>
    <row r="20" spans="1:16" x14ac:dyDescent="0.25">
      <c r="C20" s="43" t="s">
        <v>234</v>
      </c>
      <c r="D20" s="136">
        <v>1</v>
      </c>
      <c r="E20" s="136">
        <v>1</v>
      </c>
      <c r="F20" s="136">
        <v>1</v>
      </c>
      <c r="G20" s="136">
        <v>1</v>
      </c>
      <c r="H20" s="136">
        <v>1</v>
      </c>
      <c r="I20" s="118"/>
      <c r="J20" s="118"/>
      <c r="K20" s="118"/>
      <c r="L20" s="118"/>
      <c r="M20" s="118"/>
      <c r="N20" s="118"/>
      <c r="O20" s="118"/>
      <c r="P20" s="118"/>
    </row>
    <row r="21" spans="1:16" x14ac:dyDescent="0.25">
      <c r="C21" s="43" t="s">
        <v>235</v>
      </c>
      <c r="D21" s="136">
        <v>1</v>
      </c>
      <c r="E21" s="136">
        <v>1.86</v>
      </c>
      <c r="F21" s="136">
        <v>1.86</v>
      </c>
      <c r="G21" s="136">
        <v>1.86</v>
      </c>
      <c r="H21" s="136">
        <v>1.86</v>
      </c>
      <c r="I21" s="118"/>
      <c r="J21" s="118"/>
      <c r="K21" s="118"/>
      <c r="L21" s="118"/>
      <c r="M21" s="118"/>
      <c r="N21" s="118"/>
      <c r="O21" s="118"/>
      <c r="P21" s="118"/>
    </row>
    <row r="22" spans="1:16" x14ac:dyDescent="0.25">
      <c r="C22" s="43" t="s">
        <v>236</v>
      </c>
      <c r="D22" s="136">
        <v>1</v>
      </c>
      <c r="E22" s="136">
        <v>3.01</v>
      </c>
      <c r="F22" s="136">
        <v>3.01</v>
      </c>
      <c r="G22" s="136">
        <v>3.01</v>
      </c>
      <c r="H22" s="136">
        <v>3.01</v>
      </c>
      <c r="I22" s="118"/>
      <c r="J22" s="118"/>
      <c r="K22" s="118"/>
      <c r="L22" s="118"/>
      <c r="M22" s="118"/>
      <c r="N22" s="118"/>
      <c r="O22" s="118"/>
      <c r="P22" s="118"/>
    </row>
    <row r="23" spans="1:16" x14ac:dyDescent="0.25">
      <c r="B23" s="36" t="s">
        <v>23</v>
      </c>
      <c r="C23" s="43" t="s">
        <v>233</v>
      </c>
      <c r="D23" s="135">
        <v>1</v>
      </c>
      <c r="E23" s="135">
        <v>1</v>
      </c>
      <c r="F23" s="135">
        <v>1</v>
      </c>
      <c r="G23" s="135">
        <v>1</v>
      </c>
      <c r="H23" s="135">
        <v>1</v>
      </c>
      <c r="I23" s="118"/>
      <c r="J23" s="118"/>
      <c r="K23" s="118"/>
      <c r="L23" s="118"/>
      <c r="M23" s="118"/>
      <c r="N23" s="118"/>
      <c r="O23" s="118"/>
      <c r="P23" s="118"/>
    </row>
    <row r="24" spans="1:16" x14ac:dyDescent="0.25">
      <c r="C24" s="43" t="s">
        <v>234</v>
      </c>
      <c r="D24" s="136">
        <v>1</v>
      </c>
      <c r="E24" s="136">
        <v>1</v>
      </c>
      <c r="F24" s="136">
        <v>1</v>
      </c>
      <c r="G24" s="136">
        <v>1</v>
      </c>
      <c r="H24" s="136">
        <v>1</v>
      </c>
      <c r="I24" s="118"/>
      <c r="J24" s="118"/>
      <c r="K24" s="118"/>
      <c r="L24" s="118"/>
      <c r="M24" s="118"/>
      <c r="N24" s="118"/>
      <c r="O24" s="118"/>
      <c r="P24" s="118"/>
    </row>
    <row r="25" spans="1:16" x14ac:dyDescent="0.25">
      <c r="C25" s="43" t="s">
        <v>235</v>
      </c>
      <c r="D25" s="136">
        <v>1</v>
      </c>
      <c r="E25" s="136">
        <v>1.86</v>
      </c>
      <c r="F25" s="136">
        <v>1.86</v>
      </c>
      <c r="G25" s="136">
        <v>1.86</v>
      </c>
      <c r="H25" s="136">
        <v>1.86</v>
      </c>
      <c r="I25" s="118"/>
      <c r="J25" s="118"/>
      <c r="K25" s="118"/>
      <c r="L25" s="118"/>
      <c r="M25" s="118"/>
      <c r="N25" s="118"/>
      <c r="O25" s="118"/>
      <c r="P25" s="118"/>
    </row>
    <row r="26" spans="1:16" x14ac:dyDescent="0.25">
      <c r="C26" s="43" t="s">
        <v>236</v>
      </c>
      <c r="D26" s="136">
        <v>1</v>
      </c>
      <c r="E26" s="136">
        <v>3.01</v>
      </c>
      <c r="F26" s="136">
        <v>3.01</v>
      </c>
      <c r="G26" s="136">
        <v>3.01</v>
      </c>
      <c r="H26" s="136">
        <v>3.01</v>
      </c>
      <c r="I26" s="118"/>
      <c r="J26" s="118"/>
      <c r="K26" s="118"/>
      <c r="L26" s="118"/>
      <c r="M26" s="118"/>
      <c r="N26" s="118"/>
      <c r="O26" s="118"/>
      <c r="P26" s="118"/>
    </row>
    <row r="28" spans="1:16" s="100" customFormat="1" x14ac:dyDescent="0.25">
      <c r="A28" s="99" t="s">
        <v>237</v>
      </c>
    </row>
    <row r="29" spans="1:16" s="36" customFormat="1" x14ac:dyDescent="0.25">
      <c r="A29" s="121" t="s">
        <v>238</v>
      </c>
      <c r="B29" s="94" t="s">
        <v>231</v>
      </c>
      <c r="C29" s="94" t="s">
        <v>239</v>
      </c>
      <c r="D29" s="103" t="s">
        <v>1</v>
      </c>
      <c r="E29" s="103" t="s">
        <v>2</v>
      </c>
      <c r="F29" s="103" t="s">
        <v>3</v>
      </c>
      <c r="G29" s="103" t="s">
        <v>4</v>
      </c>
      <c r="H29" s="103" t="s">
        <v>5</v>
      </c>
      <c r="I29" s="120"/>
      <c r="J29" s="120"/>
      <c r="K29" s="120"/>
      <c r="L29" s="120"/>
      <c r="M29" s="120"/>
      <c r="N29" s="120"/>
      <c r="O29" s="120"/>
      <c r="P29" s="120"/>
    </row>
    <row r="30" spans="1:16" x14ac:dyDescent="0.25">
      <c r="A30" s="40"/>
      <c r="B30" s="35" t="s">
        <v>71</v>
      </c>
      <c r="C30" s="43" t="s">
        <v>233</v>
      </c>
      <c r="D30" s="135">
        <v>1</v>
      </c>
      <c r="E30" s="135">
        <v>1</v>
      </c>
      <c r="F30" s="135">
        <v>1</v>
      </c>
      <c r="G30" s="135">
        <v>1</v>
      </c>
      <c r="H30" s="135">
        <v>1</v>
      </c>
      <c r="I30" s="122"/>
      <c r="J30" s="118"/>
      <c r="K30" s="118"/>
      <c r="L30" s="118"/>
      <c r="M30" s="118"/>
      <c r="N30" s="118"/>
      <c r="O30" s="118"/>
      <c r="P30" s="118"/>
    </row>
    <row r="31" spans="1:16" x14ac:dyDescent="0.25">
      <c r="C31" s="43" t="s">
        <v>234</v>
      </c>
      <c r="D31" s="136">
        <v>1</v>
      </c>
      <c r="E31" s="136">
        <v>1.6</v>
      </c>
      <c r="F31" s="136">
        <v>1.6</v>
      </c>
      <c r="G31" s="136">
        <v>1.6</v>
      </c>
      <c r="H31" s="136">
        <v>1.6</v>
      </c>
      <c r="I31" s="118"/>
      <c r="J31" s="118"/>
      <c r="K31" s="118"/>
      <c r="L31" s="118"/>
      <c r="M31" s="118"/>
      <c r="N31" s="118"/>
      <c r="O31" s="118"/>
      <c r="P31" s="118"/>
    </row>
    <row r="32" spans="1:16" x14ac:dyDescent="0.25">
      <c r="C32" s="43" t="s">
        <v>65</v>
      </c>
      <c r="D32" s="136">
        <v>1</v>
      </c>
      <c r="E32" s="136">
        <v>3.41</v>
      </c>
      <c r="F32" s="136">
        <v>3.41</v>
      </c>
      <c r="G32" s="136">
        <v>3.41</v>
      </c>
      <c r="H32" s="136">
        <v>3.41</v>
      </c>
      <c r="I32" s="118"/>
      <c r="J32" s="118"/>
      <c r="K32" s="118"/>
      <c r="L32" s="118"/>
      <c r="M32" s="118"/>
      <c r="N32" s="118"/>
      <c r="O32" s="118"/>
      <c r="P32" s="118"/>
    </row>
    <row r="33" spans="2:16" x14ac:dyDescent="0.25">
      <c r="C33" s="43" t="s">
        <v>66</v>
      </c>
      <c r="D33" s="136">
        <v>1</v>
      </c>
      <c r="E33" s="136">
        <v>12.33</v>
      </c>
      <c r="F33" s="136">
        <v>12.33</v>
      </c>
      <c r="G33" s="136">
        <v>12.33</v>
      </c>
      <c r="H33" s="136">
        <v>12.33</v>
      </c>
      <c r="I33" s="118"/>
      <c r="J33" s="118"/>
      <c r="K33" s="118"/>
      <c r="L33" s="118"/>
      <c r="M33" s="118"/>
      <c r="N33" s="118"/>
      <c r="O33" s="118"/>
      <c r="P33" s="118"/>
    </row>
    <row r="34" spans="2:16" x14ac:dyDescent="0.25">
      <c r="B34" s="35" t="s">
        <v>16</v>
      </c>
      <c r="C34" s="43" t="s">
        <v>233</v>
      </c>
      <c r="D34" s="135">
        <v>1</v>
      </c>
      <c r="E34" s="135">
        <v>1</v>
      </c>
      <c r="F34" s="135">
        <v>1</v>
      </c>
      <c r="G34" s="135">
        <v>1</v>
      </c>
      <c r="H34" s="135">
        <v>1</v>
      </c>
      <c r="I34" s="118"/>
      <c r="J34" s="118"/>
      <c r="K34" s="118"/>
      <c r="L34" s="118"/>
      <c r="M34" s="118"/>
      <c r="N34" s="118"/>
      <c r="O34" s="118"/>
      <c r="P34" s="118"/>
    </row>
    <row r="35" spans="2:16" x14ac:dyDescent="0.25">
      <c r="C35" s="43" t="s">
        <v>234</v>
      </c>
      <c r="D35" s="136">
        <v>1</v>
      </c>
      <c r="E35" s="136">
        <v>1.92</v>
      </c>
      <c r="F35" s="136">
        <v>1.92</v>
      </c>
      <c r="G35" s="136">
        <v>1.92</v>
      </c>
      <c r="H35" s="136">
        <v>1.92</v>
      </c>
      <c r="I35" s="118"/>
      <c r="J35" s="118"/>
      <c r="K35" s="118"/>
      <c r="L35" s="118"/>
      <c r="M35" s="118"/>
      <c r="N35" s="118"/>
      <c r="O35" s="118"/>
      <c r="P35" s="118"/>
    </row>
    <row r="36" spans="2:16" x14ac:dyDescent="0.25">
      <c r="C36" s="43" t="s">
        <v>65</v>
      </c>
      <c r="D36" s="136">
        <v>1</v>
      </c>
      <c r="E36" s="136">
        <v>4.66</v>
      </c>
      <c r="F36" s="136">
        <v>4.66</v>
      </c>
      <c r="G36" s="136">
        <v>4.66</v>
      </c>
      <c r="H36" s="136">
        <v>4.66</v>
      </c>
      <c r="I36" s="118"/>
      <c r="J36" s="118"/>
      <c r="K36" s="118"/>
      <c r="L36" s="118"/>
      <c r="M36" s="118"/>
      <c r="N36" s="118"/>
      <c r="O36" s="118"/>
      <c r="P36" s="118"/>
    </row>
    <row r="37" spans="2:16" x14ac:dyDescent="0.25">
      <c r="C37" s="43" t="s">
        <v>66</v>
      </c>
      <c r="D37" s="136">
        <v>1</v>
      </c>
      <c r="E37" s="136">
        <v>9.68</v>
      </c>
      <c r="F37" s="136">
        <v>9.68</v>
      </c>
      <c r="G37" s="136">
        <v>9.68</v>
      </c>
      <c r="H37" s="136">
        <v>9.68</v>
      </c>
      <c r="I37" s="118"/>
      <c r="J37" s="118"/>
      <c r="K37" s="118"/>
      <c r="L37" s="118"/>
      <c r="M37" s="118"/>
      <c r="N37" s="118"/>
      <c r="O37" s="118"/>
      <c r="P37" s="118"/>
    </row>
    <row r="38" spans="2:16" x14ac:dyDescent="0.25">
      <c r="B38" s="35" t="s">
        <v>18</v>
      </c>
      <c r="C38" s="43" t="s">
        <v>233</v>
      </c>
      <c r="D38" s="135">
        <v>1</v>
      </c>
      <c r="E38" s="135">
        <v>1</v>
      </c>
      <c r="F38" s="135">
        <v>1</v>
      </c>
      <c r="G38" s="135">
        <v>1</v>
      </c>
      <c r="H38" s="135">
        <v>1</v>
      </c>
      <c r="I38" s="118"/>
      <c r="J38" s="118"/>
      <c r="K38" s="118"/>
      <c r="L38" s="118"/>
      <c r="M38" s="118"/>
      <c r="N38" s="118"/>
      <c r="O38" s="118"/>
      <c r="P38" s="118"/>
    </row>
    <row r="39" spans="2:16" x14ac:dyDescent="0.25">
      <c r="C39" s="43" t="s">
        <v>234</v>
      </c>
      <c r="D39" s="136">
        <v>1</v>
      </c>
      <c r="E39" s="136">
        <v>1</v>
      </c>
      <c r="F39" s="136">
        <v>1</v>
      </c>
      <c r="G39" s="136">
        <v>1</v>
      </c>
      <c r="H39" s="136">
        <v>1</v>
      </c>
      <c r="I39" s="118"/>
      <c r="J39" s="118"/>
      <c r="K39" s="118"/>
      <c r="L39" s="118"/>
      <c r="M39" s="118"/>
      <c r="N39" s="118"/>
      <c r="O39" s="118"/>
      <c r="P39" s="118"/>
    </row>
    <row r="40" spans="2:16" x14ac:dyDescent="0.25">
      <c r="C40" s="43" t="s">
        <v>65</v>
      </c>
      <c r="D40" s="136">
        <v>1</v>
      </c>
      <c r="E40" s="136">
        <v>2.58</v>
      </c>
      <c r="F40" s="136">
        <v>2.58</v>
      </c>
      <c r="G40" s="136">
        <v>2.58</v>
      </c>
      <c r="H40" s="136">
        <v>2.58</v>
      </c>
      <c r="I40" s="118"/>
      <c r="J40" s="118"/>
      <c r="K40" s="118"/>
      <c r="L40" s="118"/>
      <c r="M40" s="118"/>
      <c r="N40" s="118"/>
      <c r="O40" s="118"/>
      <c r="P40" s="118"/>
    </row>
    <row r="41" spans="2:16" x14ac:dyDescent="0.25">
      <c r="C41" s="43" t="s">
        <v>66</v>
      </c>
      <c r="D41" s="136">
        <v>1</v>
      </c>
      <c r="E41" s="136">
        <v>9.6300000000000008</v>
      </c>
      <c r="F41" s="136">
        <v>9.6300000000000008</v>
      </c>
      <c r="G41" s="136">
        <v>9.6300000000000008</v>
      </c>
      <c r="H41" s="136">
        <v>9.6300000000000008</v>
      </c>
      <c r="I41" s="118"/>
      <c r="J41" s="118"/>
      <c r="K41" s="118"/>
      <c r="L41" s="118"/>
      <c r="M41" s="118"/>
      <c r="N41" s="118"/>
      <c r="O41" s="118"/>
      <c r="P41" s="118"/>
    </row>
    <row r="42" spans="2:16" x14ac:dyDescent="0.25">
      <c r="B42" s="35" t="s">
        <v>19</v>
      </c>
      <c r="C42" s="43" t="s">
        <v>233</v>
      </c>
      <c r="D42" s="135">
        <v>1</v>
      </c>
      <c r="E42" s="135">
        <v>1</v>
      </c>
      <c r="F42" s="135">
        <v>1</v>
      </c>
      <c r="G42" s="135">
        <v>1</v>
      </c>
      <c r="H42" s="135">
        <v>1</v>
      </c>
      <c r="I42" s="118"/>
      <c r="J42" s="118"/>
      <c r="K42" s="118"/>
      <c r="L42" s="118"/>
      <c r="M42" s="118"/>
      <c r="N42" s="118"/>
      <c r="O42" s="118"/>
      <c r="P42" s="118"/>
    </row>
    <row r="43" spans="2:16" x14ac:dyDescent="0.25">
      <c r="C43" s="43" t="s">
        <v>234</v>
      </c>
      <c r="D43" s="136">
        <v>1</v>
      </c>
      <c r="E43" s="136">
        <v>1</v>
      </c>
      <c r="F43" s="136">
        <v>1</v>
      </c>
      <c r="G43" s="136">
        <v>1</v>
      </c>
      <c r="H43" s="136">
        <v>1</v>
      </c>
      <c r="I43" s="118"/>
      <c r="J43" s="118"/>
      <c r="K43" s="118"/>
      <c r="L43" s="118"/>
      <c r="M43" s="118"/>
      <c r="N43" s="118"/>
      <c r="O43" s="118"/>
      <c r="P43" s="118"/>
    </row>
    <row r="44" spans="2:16" x14ac:dyDescent="0.25">
      <c r="C44" s="43" t="s">
        <v>65</v>
      </c>
      <c r="D44" s="136">
        <v>1</v>
      </c>
      <c r="E44" s="136">
        <v>1</v>
      </c>
      <c r="F44" s="136">
        <v>1</v>
      </c>
      <c r="G44" s="136">
        <v>1</v>
      </c>
      <c r="H44" s="136">
        <v>1</v>
      </c>
      <c r="I44" s="118"/>
      <c r="J44" s="118"/>
      <c r="K44" s="118"/>
      <c r="L44" s="118"/>
      <c r="M44" s="118"/>
      <c r="N44" s="118"/>
      <c r="O44" s="118"/>
      <c r="P44" s="118"/>
    </row>
    <row r="45" spans="2:16" x14ac:dyDescent="0.25">
      <c r="C45" s="43" t="s">
        <v>66</v>
      </c>
      <c r="D45" s="136">
        <v>1</v>
      </c>
      <c r="E45" s="136">
        <v>1</v>
      </c>
      <c r="F45" s="136">
        <v>1</v>
      </c>
      <c r="G45" s="136">
        <v>1</v>
      </c>
      <c r="H45" s="136">
        <v>1</v>
      </c>
      <c r="I45" s="118"/>
      <c r="J45" s="118"/>
      <c r="K45" s="118"/>
      <c r="L45" s="118"/>
      <c r="M45" s="118"/>
      <c r="N45" s="118"/>
      <c r="O45" s="118"/>
      <c r="P45" s="118"/>
    </row>
    <row r="46" spans="2:16" x14ac:dyDescent="0.25">
      <c r="B46" s="35" t="s">
        <v>17</v>
      </c>
      <c r="C46" s="43" t="s">
        <v>233</v>
      </c>
      <c r="D46" s="135">
        <v>1</v>
      </c>
      <c r="E46" s="135">
        <v>1</v>
      </c>
      <c r="F46" s="135">
        <v>1</v>
      </c>
      <c r="G46" s="135">
        <v>1</v>
      </c>
      <c r="H46" s="135">
        <v>1</v>
      </c>
      <c r="I46" s="118"/>
      <c r="J46" s="118"/>
      <c r="K46" s="118"/>
      <c r="L46" s="118"/>
      <c r="M46" s="118"/>
      <c r="N46" s="118"/>
      <c r="O46" s="118"/>
      <c r="P46" s="118"/>
    </row>
    <row r="47" spans="2:16" x14ac:dyDescent="0.25">
      <c r="C47" s="43" t="s">
        <v>234</v>
      </c>
      <c r="D47" s="136">
        <v>1</v>
      </c>
      <c r="E47" s="136">
        <v>1.65</v>
      </c>
      <c r="F47" s="136">
        <v>1.65</v>
      </c>
      <c r="G47" s="136">
        <v>1.65</v>
      </c>
      <c r="H47" s="136">
        <v>1.65</v>
      </c>
      <c r="I47" s="118"/>
      <c r="J47" s="118"/>
      <c r="K47" s="118"/>
      <c r="L47" s="118"/>
      <c r="M47" s="118"/>
      <c r="N47" s="118"/>
      <c r="O47" s="118"/>
      <c r="P47" s="118"/>
    </row>
    <row r="48" spans="2:16" x14ac:dyDescent="0.25">
      <c r="C48" s="43" t="s">
        <v>65</v>
      </c>
      <c r="D48" s="136">
        <v>1</v>
      </c>
      <c r="E48" s="136">
        <v>2.73</v>
      </c>
      <c r="F48" s="136">
        <v>2.73</v>
      </c>
      <c r="G48" s="136">
        <v>2.73</v>
      </c>
      <c r="H48" s="136">
        <v>2.73</v>
      </c>
      <c r="I48" s="118"/>
      <c r="J48" s="118"/>
      <c r="K48" s="118"/>
      <c r="L48" s="118"/>
      <c r="M48" s="118"/>
      <c r="N48" s="118"/>
      <c r="O48" s="118"/>
      <c r="P48" s="118"/>
    </row>
    <row r="49" spans="1:16" x14ac:dyDescent="0.25">
      <c r="C49" s="43" t="s">
        <v>66</v>
      </c>
      <c r="D49" s="136">
        <v>1</v>
      </c>
      <c r="E49" s="136">
        <v>11.21</v>
      </c>
      <c r="F49" s="136">
        <v>11.21</v>
      </c>
      <c r="G49" s="136">
        <v>11.21</v>
      </c>
      <c r="H49" s="136">
        <v>11.21</v>
      </c>
      <c r="I49" s="118"/>
      <c r="J49" s="118"/>
      <c r="K49" s="118"/>
      <c r="L49" s="118"/>
      <c r="M49" s="118"/>
      <c r="N49" s="118"/>
      <c r="O49" s="118"/>
      <c r="P49" s="118"/>
    </row>
    <row r="50" spans="1:16" x14ac:dyDescent="0.25">
      <c r="B50" s="35" t="s">
        <v>23</v>
      </c>
      <c r="C50" s="43" t="s">
        <v>233</v>
      </c>
      <c r="D50" s="135">
        <v>1</v>
      </c>
      <c r="E50" s="135">
        <v>1</v>
      </c>
      <c r="F50" s="135">
        <v>1</v>
      </c>
      <c r="G50" s="135">
        <v>1</v>
      </c>
      <c r="H50" s="135">
        <v>1</v>
      </c>
      <c r="I50" s="118"/>
      <c r="J50" s="118"/>
      <c r="K50" s="118"/>
      <c r="L50" s="118"/>
      <c r="M50" s="118"/>
      <c r="N50" s="118"/>
      <c r="O50" s="118"/>
      <c r="P50" s="118"/>
    </row>
    <row r="51" spans="1:16" x14ac:dyDescent="0.25">
      <c r="C51" s="43" t="s">
        <v>234</v>
      </c>
      <c r="D51" s="136">
        <v>1</v>
      </c>
      <c r="E51" s="136">
        <v>1.65</v>
      </c>
      <c r="F51" s="136">
        <v>1.65</v>
      </c>
      <c r="G51" s="136">
        <v>1.65</v>
      </c>
      <c r="H51" s="136">
        <v>1.65</v>
      </c>
      <c r="I51" s="118"/>
      <c r="J51" s="118"/>
      <c r="K51" s="118"/>
      <c r="L51" s="118"/>
      <c r="M51" s="118"/>
      <c r="N51" s="118"/>
      <c r="O51" s="118"/>
      <c r="P51" s="118"/>
    </row>
    <row r="52" spans="1:16" x14ac:dyDescent="0.25">
      <c r="C52" s="43" t="s">
        <v>65</v>
      </c>
      <c r="D52" s="136">
        <v>1</v>
      </c>
      <c r="E52" s="136">
        <v>2.73</v>
      </c>
      <c r="F52" s="136">
        <v>2.73</v>
      </c>
      <c r="G52" s="136">
        <v>2.73</v>
      </c>
      <c r="H52" s="136">
        <v>2.73</v>
      </c>
      <c r="I52" s="118"/>
      <c r="J52" s="118"/>
      <c r="K52" s="118"/>
      <c r="L52" s="118"/>
      <c r="M52" s="118"/>
      <c r="N52" s="118"/>
      <c r="O52" s="118"/>
      <c r="P52" s="118"/>
    </row>
    <row r="53" spans="1:16" x14ac:dyDescent="0.25">
      <c r="C53" s="43" t="s">
        <v>66</v>
      </c>
      <c r="D53" s="136">
        <v>1</v>
      </c>
      <c r="E53" s="136">
        <v>11.21</v>
      </c>
      <c r="F53" s="136">
        <v>11.21</v>
      </c>
      <c r="G53" s="136">
        <v>11.21</v>
      </c>
      <c r="H53" s="136">
        <v>11.21</v>
      </c>
      <c r="I53" s="118"/>
      <c r="J53" s="118"/>
      <c r="K53" s="118"/>
      <c r="L53" s="118"/>
      <c r="M53" s="118"/>
      <c r="N53" s="118"/>
      <c r="O53" s="118"/>
      <c r="P53" s="118"/>
    </row>
    <row r="54" spans="1:16" x14ac:dyDescent="0.25">
      <c r="C54" s="43"/>
      <c r="D54" s="43"/>
    </row>
    <row r="55" spans="1:16" s="100" customFormat="1" x14ac:dyDescent="0.25">
      <c r="A55" s="99" t="s">
        <v>240</v>
      </c>
    </row>
    <row r="56" spans="1:16" s="36" customFormat="1" ht="26.4" x14ac:dyDescent="0.25">
      <c r="A56" s="121" t="s">
        <v>70</v>
      </c>
      <c r="B56" s="94" t="s">
        <v>231</v>
      </c>
      <c r="C56" s="123" t="s">
        <v>241</v>
      </c>
      <c r="D56" s="103" t="s">
        <v>53</v>
      </c>
      <c r="E56" s="103" t="s">
        <v>54</v>
      </c>
      <c r="F56" s="103" t="s">
        <v>55</v>
      </c>
      <c r="G56" s="103" t="s">
        <v>56</v>
      </c>
      <c r="H56" s="120"/>
      <c r="M56" s="120"/>
      <c r="N56" s="120"/>
      <c r="O56" s="120"/>
      <c r="P56" s="120"/>
    </row>
    <row r="57" spans="1:16" x14ac:dyDescent="0.25">
      <c r="A57" s="40"/>
      <c r="B57" s="35" t="s">
        <v>38</v>
      </c>
      <c r="C57" s="43" t="s">
        <v>242</v>
      </c>
      <c r="D57" s="135">
        <v>1</v>
      </c>
      <c r="E57" s="135">
        <v>1</v>
      </c>
      <c r="F57" s="135">
        <v>1</v>
      </c>
      <c r="G57" s="135">
        <v>1</v>
      </c>
      <c r="H57" s="118"/>
      <c r="M57" s="118"/>
      <c r="N57" s="118"/>
      <c r="O57" s="118"/>
      <c r="P57" s="118"/>
    </row>
    <row r="58" spans="1:16" x14ac:dyDescent="0.25">
      <c r="C58" s="43" t="s">
        <v>243</v>
      </c>
      <c r="D58" s="136">
        <v>10.675000000000001</v>
      </c>
      <c r="E58" s="136">
        <v>10.675000000000001</v>
      </c>
      <c r="F58" s="136">
        <v>10.675000000000001</v>
      </c>
      <c r="G58" s="136">
        <v>10.675000000000001</v>
      </c>
      <c r="H58" s="118"/>
      <c r="M58" s="118"/>
      <c r="N58" s="118"/>
      <c r="O58" s="118"/>
      <c r="P58" s="118"/>
    </row>
    <row r="59" spans="1:16" x14ac:dyDescent="0.25">
      <c r="B59" s="35" t="s">
        <v>39</v>
      </c>
      <c r="C59" s="43" t="s">
        <v>242</v>
      </c>
      <c r="D59" s="135">
        <v>1</v>
      </c>
      <c r="E59" s="135">
        <v>1</v>
      </c>
      <c r="F59" s="135">
        <v>1</v>
      </c>
      <c r="G59" s="135">
        <v>1</v>
      </c>
      <c r="H59" s="118"/>
      <c r="M59" s="118"/>
      <c r="N59" s="118"/>
      <c r="O59" s="118"/>
      <c r="P59" s="118"/>
    </row>
    <row r="60" spans="1:16" x14ac:dyDescent="0.25">
      <c r="C60" s="43" t="s">
        <v>243</v>
      </c>
      <c r="D60" s="136">
        <v>10.675000000000001</v>
      </c>
      <c r="E60" s="136">
        <v>10.675000000000001</v>
      </c>
      <c r="F60" s="136">
        <v>10.675000000000001</v>
      </c>
      <c r="G60" s="136">
        <v>10.675000000000001</v>
      </c>
      <c r="H60" s="118"/>
      <c r="M60" s="118"/>
      <c r="N60" s="118"/>
      <c r="O60" s="118"/>
      <c r="P60" s="118"/>
    </row>
    <row r="61" spans="1:16" x14ac:dyDescent="0.25">
      <c r="B61" s="35" t="s">
        <v>40</v>
      </c>
      <c r="C61" s="43" t="s">
        <v>242</v>
      </c>
      <c r="D61" s="135">
        <v>1</v>
      </c>
      <c r="E61" s="135">
        <v>1</v>
      </c>
      <c r="F61" s="135">
        <v>1</v>
      </c>
      <c r="G61" s="135">
        <v>1</v>
      </c>
      <c r="H61" s="118"/>
      <c r="M61" s="118"/>
      <c r="N61" s="118"/>
      <c r="O61" s="118"/>
      <c r="P61" s="118"/>
    </row>
    <row r="62" spans="1:16" x14ac:dyDescent="0.25">
      <c r="C62" s="43" t="s">
        <v>243</v>
      </c>
      <c r="D62" s="136">
        <v>10.675000000000001</v>
      </c>
      <c r="E62" s="136">
        <v>10.675000000000001</v>
      </c>
      <c r="F62" s="136">
        <v>10.675000000000001</v>
      </c>
      <c r="G62" s="136">
        <v>10.675000000000001</v>
      </c>
      <c r="H62" s="118"/>
      <c r="M62" s="118"/>
      <c r="N62" s="118"/>
      <c r="O62" s="118"/>
      <c r="P62" s="118"/>
    </row>
    <row r="63" spans="1:16" x14ac:dyDescent="0.25">
      <c r="C63" s="43"/>
      <c r="D63" s="43"/>
    </row>
    <row r="64" spans="1:16" s="100" customFormat="1" x14ac:dyDescent="0.25">
      <c r="A64" s="99" t="s">
        <v>244</v>
      </c>
    </row>
    <row r="65" spans="1:16" s="36" customFormat="1" ht="26.4" x14ac:dyDescent="0.25">
      <c r="A65" s="121" t="s">
        <v>24</v>
      </c>
      <c r="B65" s="94" t="s">
        <v>231</v>
      </c>
      <c r="C65" s="123" t="s">
        <v>245</v>
      </c>
      <c r="D65" s="103" t="s">
        <v>1</v>
      </c>
      <c r="E65" s="103" t="s">
        <v>2</v>
      </c>
      <c r="F65" s="103" t="s">
        <v>3</v>
      </c>
      <c r="G65" s="103" t="s">
        <v>4</v>
      </c>
      <c r="H65" s="124" t="s">
        <v>5</v>
      </c>
      <c r="I65" s="120"/>
      <c r="J65" s="120"/>
      <c r="K65" s="120"/>
      <c r="L65" s="120"/>
      <c r="M65" s="120"/>
      <c r="N65" s="120"/>
      <c r="O65" s="120"/>
      <c r="P65" s="120"/>
    </row>
    <row r="66" spans="1:16" x14ac:dyDescent="0.25">
      <c r="A66" s="125"/>
      <c r="B66" s="35" t="s">
        <v>73</v>
      </c>
      <c r="C66" s="43" t="s">
        <v>166</v>
      </c>
      <c r="D66" s="135">
        <v>1</v>
      </c>
      <c r="E66" s="135">
        <v>1</v>
      </c>
      <c r="F66" s="135">
        <v>1</v>
      </c>
      <c r="G66" s="135">
        <v>1</v>
      </c>
      <c r="H66" s="118">
        <v>1</v>
      </c>
      <c r="I66" s="118"/>
      <c r="J66" s="118"/>
      <c r="K66" s="118"/>
      <c r="L66" s="118"/>
      <c r="M66" s="118"/>
      <c r="N66" s="118"/>
      <c r="O66" s="118"/>
      <c r="P66" s="118"/>
    </row>
    <row r="67" spans="1:16" x14ac:dyDescent="0.25">
      <c r="C67" s="43" t="s">
        <v>167</v>
      </c>
      <c r="D67" s="136">
        <v>1.35</v>
      </c>
      <c r="E67" s="136">
        <v>1</v>
      </c>
      <c r="F67" s="136">
        <v>1</v>
      </c>
      <c r="G67" s="136">
        <v>1</v>
      </c>
      <c r="H67" s="118">
        <v>1</v>
      </c>
      <c r="I67" s="118"/>
      <c r="J67" s="118"/>
      <c r="K67" s="118"/>
      <c r="L67" s="118"/>
      <c r="M67" s="118"/>
      <c r="N67" s="118"/>
      <c r="O67" s="118"/>
      <c r="P67" s="118"/>
    </row>
    <row r="68" spans="1:16" x14ac:dyDescent="0.25">
      <c r="C68" s="43" t="s">
        <v>168</v>
      </c>
      <c r="D68" s="136">
        <v>1.35</v>
      </c>
      <c r="E68" s="136">
        <v>1</v>
      </c>
      <c r="F68" s="136">
        <v>1</v>
      </c>
      <c r="G68" s="136">
        <v>1</v>
      </c>
      <c r="H68" s="118">
        <v>1</v>
      </c>
      <c r="I68" s="118"/>
      <c r="J68" s="118"/>
      <c r="K68" s="118"/>
      <c r="L68" s="118"/>
      <c r="M68" s="118"/>
      <c r="N68" s="118"/>
      <c r="O68" s="118"/>
      <c r="P68" s="118"/>
    </row>
    <row r="69" spans="1:16" x14ac:dyDescent="0.25">
      <c r="C69" s="43" t="s">
        <v>169</v>
      </c>
      <c r="D69" s="136">
        <v>5.4</v>
      </c>
      <c r="E69" s="136">
        <v>1</v>
      </c>
      <c r="F69" s="136">
        <v>1</v>
      </c>
      <c r="G69" s="136">
        <v>1</v>
      </c>
      <c r="H69" s="118">
        <v>1</v>
      </c>
      <c r="I69" s="118"/>
      <c r="J69" s="118"/>
      <c r="K69" s="118"/>
      <c r="L69" s="118"/>
      <c r="M69" s="118"/>
      <c r="N69" s="118"/>
      <c r="O69" s="118"/>
      <c r="P69" s="118"/>
    </row>
    <row r="70" spans="1:16" x14ac:dyDescent="0.25">
      <c r="B70" s="35" t="s">
        <v>7</v>
      </c>
      <c r="C70" s="43" t="s">
        <v>166</v>
      </c>
      <c r="D70" s="135">
        <v>1</v>
      </c>
      <c r="E70" s="135">
        <v>1</v>
      </c>
      <c r="F70" s="135">
        <v>1</v>
      </c>
      <c r="G70" s="135">
        <v>1</v>
      </c>
      <c r="H70" s="118">
        <v>1</v>
      </c>
      <c r="I70" s="118"/>
      <c r="J70" s="118"/>
      <c r="K70" s="118"/>
      <c r="L70" s="118"/>
      <c r="M70" s="118"/>
      <c r="N70" s="118"/>
      <c r="O70" s="118"/>
      <c r="P70" s="118"/>
    </row>
    <row r="71" spans="1:16" x14ac:dyDescent="0.25">
      <c r="C71" s="43" t="s">
        <v>167</v>
      </c>
      <c r="D71" s="136">
        <v>1.35</v>
      </c>
      <c r="E71" s="136">
        <v>1</v>
      </c>
      <c r="F71" s="136">
        <v>1</v>
      </c>
      <c r="G71" s="136">
        <v>1</v>
      </c>
      <c r="H71" s="118">
        <v>1</v>
      </c>
      <c r="I71" s="118"/>
      <c r="J71" s="118"/>
      <c r="K71" s="118"/>
      <c r="L71" s="118"/>
      <c r="M71" s="118"/>
      <c r="N71" s="118"/>
      <c r="O71" s="118"/>
      <c r="P71" s="118"/>
    </row>
    <row r="72" spans="1:16" x14ac:dyDescent="0.25">
      <c r="C72" s="43" t="s">
        <v>168</v>
      </c>
      <c r="D72" s="136">
        <v>1.35</v>
      </c>
      <c r="E72" s="136">
        <v>1</v>
      </c>
      <c r="F72" s="136">
        <v>1</v>
      </c>
      <c r="G72" s="136">
        <v>1</v>
      </c>
      <c r="H72" s="118">
        <v>1</v>
      </c>
      <c r="I72" s="118"/>
      <c r="J72" s="118"/>
      <c r="K72" s="118"/>
      <c r="L72" s="118"/>
      <c r="M72" s="118"/>
      <c r="N72" s="118"/>
      <c r="O72" s="118"/>
      <c r="P72" s="118"/>
    </row>
    <row r="73" spans="1:16" x14ac:dyDescent="0.25">
      <c r="C73" s="43" t="s">
        <v>169</v>
      </c>
      <c r="D73" s="136">
        <v>5.4</v>
      </c>
      <c r="E73" s="136">
        <v>1</v>
      </c>
      <c r="F73" s="136">
        <v>1</v>
      </c>
      <c r="G73" s="136">
        <v>1</v>
      </c>
      <c r="H73" s="118">
        <v>1</v>
      </c>
      <c r="I73" s="118"/>
      <c r="J73" s="118"/>
      <c r="K73" s="118"/>
      <c r="L73" s="118"/>
      <c r="M73" s="118"/>
      <c r="N73" s="118"/>
      <c r="O73" s="118"/>
      <c r="P73" s="118"/>
    </row>
    <row r="74" spans="1:16" x14ac:dyDescent="0.25">
      <c r="B74" s="35" t="s">
        <v>8</v>
      </c>
      <c r="C74" s="43" t="s">
        <v>166</v>
      </c>
      <c r="D74" s="135">
        <v>1</v>
      </c>
      <c r="E74" s="135">
        <v>1</v>
      </c>
      <c r="F74" s="135">
        <v>1</v>
      </c>
      <c r="G74" s="135">
        <v>1</v>
      </c>
      <c r="H74" s="118">
        <v>1</v>
      </c>
      <c r="I74" s="118"/>
      <c r="J74" s="118"/>
      <c r="K74" s="118"/>
      <c r="L74" s="118"/>
      <c r="M74" s="118"/>
      <c r="N74" s="118"/>
      <c r="O74" s="118"/>
      <c r="P74" s="118"/>
    </row>
    <row r="75" spans="1:16" x14ac:dyDescent="0.25">
      <c r="C75" s="43" t="s">
        <v>167</v>
      </c>
      <c r="D75" s="136">
        <v>1.35</v>
      </c>
      <c r="E75" s="136">
        <v>1</v>
      </c>
      <c r="F75" s="136">
        <v>1</v>
      </c>
      <c r="G75" s="136">
        <v>1</v>
      </c>
      <c r="H75" s="118">
        <v>1</v>
      </c>
      <c r="I75" s="118"/>
      <c r="J75" s="118"/>
      <c r="K75" s="118"/>
      <c r="L75" s="118"/>
      <c r="M75" s="118"/>
      <c r="N75" s="118"/>
      <c r="O75" s="118"/>
      <c r="P75" s="118"/>
    </row>
    <row r="76" spans="1:16" x14ac:dyDescent="0.25">
      <c r="C76" s="43" t="s">
        <v>168</v>
      </c>
      <c r="D76" s="136">
        <v>1.35</v>
      </c>
      <c r="E76" s="136">
        <v>1</v>
      </c>
      <c r="F76" s="136">
        <v>1</v>
      </c>
      <c r="G76" s="136">
        <v>1</v>
      </c>
      <c r="H76" s="118">
        <v>1</v>
      </c>
      <c r="I76" s="118"/>
      <c r="J76" s="118"/>
      <c r="K76" s="118"/>
      <c r="L76" s="118"/>
      <c r="M76" s="118"/>
      <c r="N76" s="118"/>
      <c r="O76" s="118"/>
      <c r="P76" s="118"/>
    </row>
    <row r="77" spans="1:16" x14ac:dyDescent="0.25">
      <c r="C77" s="43" t="s">
        <v>169</v>
      </c>
      <c r="D77" s="136">
        <v>5.4</v>
      </c>
      <c r="E77" s="136">
        <v>1</v>
      </c>
      <c r="F77" s="136">
        <v>1</v>
      </c>
      <c r="G77" s="136">
        <v>1</v>
      </c>
      <c r="H77" s="118">
        <v>1</v>
      </c>
      <c r="I77" s="118"/>
      <c r="J77" s="118"/>
      <c r="K77" s="118"/>
      <c r="L77" s="118"/>
      <c r="M77" s="118"/>
      <c r="N77" s="118"/>
      <c r="O77" s="118"/>
      <c r="P77" s="118"/>
    </row>
    <row r="78" spans="1:16" x14ac:dyDescent="0.25">
      <c r="B78" s="35" t="s">
        <v>13</v>
      </c>
      <c r="C78" s="43" t="s">
        <v>166</v>
      </c>
      <c r="D78" s="135">
        <v>1</v>
      </c>
      <c r="E78" s="135">
        <v>1</v>
      </c>
      <c r="F78" s="135">
        <v>1</v>
      </c>
      <c r="G78" s="135">
        <v>1</v>
      </c>
      <c r="H78" s="118">
        <v>1</v>
      </c>
      <c r="I78" s="118"/>
      <c r="J78" s="118"/>
      <c r="K78" s="118"/>
      <c r="L78" s="118"/>
      <c r="M78" s="118"/>
      <c r="N78" s="118"/>
      <c r="O78" s="118"/>
      <c r="P78" s="118"/>
    </row>
    <row r="79" spans="1:16" x14ac:dyDescent="0.25">
      <c r="C79" s="43" t="s">
        <v>167</v>
      </c>
      <c r="D79" s="136">
        <v>1</v>
      </c>
      <c r="E79" s="136">
        <v>1</v>
      </c>
      <c r="F79" s="136">
        <v>1</v>
      </c>
      <c r="G79" s="136">
        <v>1</v>
      </c>
      <c r="H79" s="118">
        <v>1</v>
      </c>
      <c r="I79" s="118"/>
      <c r="J79" s="118"/>
      <c r="K79" s="118"/>
      <c r="L79" s="118"/>
      <c r="M79" s="118"/>
      <c r="N79" s="118"/>
      <c r="O79" s="118"/>
      <c r="P79" s="118"/>
    </row>
    <row r="80" spans="1:16" x14ac:dyDescent="0.25">
      <c r="C80" s="43" t="s">
        <v>168</v>
      </c>
      <c r="D80" s="136">
        <v>1</v>
      </c>
      <c r="E80" s="136">
        <v>1</v>
      </c>
      <c r="F80" s="136">
        <v>1</v>
      </c>
      <c r="G80" s="136">
        <v>1</v>
      </c>
      <c r="H80" s="118">
        <v>1</v>
      </c>
      <c r="I80" s="118"/>
      <c r="J80" s="118"/>
      <c r="K80" s="118"/>
      <c r="L80" s="118"/>
      <c r="M80" s="118"/>
      <c r="N80" s="118"/>
      <c r="O80" s="118"/>
      <c r="P80" s="118"/>
    </row>
    <row r="81" spans="2:16" x14ac:dyDescent="0.25">
      <c r="C81" s="43" t="s">
        <v>169</v>
      </c>
      <c r="D81" s="136">
        <v>1</v>
      </c>
      <c r="E81" s="136">
        <v>1</v>
      </c>
      <c r="F81" s="136">
        <v>1</v>
      </c>
      <c r="G81" s="136">
        <v>1</v>
      </c>
      <c r="H81" s="118">
        <v>1</v>
      </c>
      <c r="I81" s="118"/>
      <c r="J81" s="118"/>
      <c r="K81" s="118"/>
      <c r="L81" s="118"/>
      <c r="M81" s="118"/>
      <c r="N81" s="118"/>
      <c r="O81" s="118"/>
      <c r="P81" s="118"/>
    </row>
    <row r="82" spans="2:16" x14ac:dyDescent="0.25">
      <c r="B82" s="35" t="s">
        <v>71</v>
      </c>
      <c r="C82" s="43" t="s">
        <v>166</v>
      </c>
      <c r="D82" s="135">
        <v>1</v>
      </c>
      <c r="E82" s="135">
        <v>1</v>
      </c>
      <c r="F82" s="135">
        <v>1</v>
      </c>
      <c r="G82" s="135">
        <v>1</v>
      </c>
      <c r="H82" s="118">
        <v>1</v>
      </c>
      <c r="I82" s="118"/>
      <c r="J82" s="118"/>
      <c r="K82" s="118"/>
      <c r="L82" s="118"/>
      <c r="M82" s="118"/>
      <c r="N82" s="118"/>
      <c r="O82" s="118"/>
      <c r="P82" s="118"/>
    </row>
    <row r="83" spans="2:16" x14ac:dyDescent="0.25">
      <c r="C83" s="43" t="s">
        <v>167</v>
      </c>
      <c r="D83" s="136">
        <v>1</v>
      </c>
      <c r="E83" s="136">
        <v>2.2799999999999998</v>
      </c>
      <c r="F83" s="136">
        <v>1</v>
      </c>
      <c r="G83" s="136">
        <v>1</v>
      </c>
      <c r="H83" s="118">
        <v>1</v>
      </c>
      <c r="I83" s="118"/>
      <c r="J83" s="118"/>
      <c r="K83" s="118"/>
      <c r="L83" s="118"/>
      <c r="M83" s="118"/>
      <c r="N83" s="118"/>
      <c r="O83" s="118"/>
      <c r="P83" s="118"/>
    </row>
    <row r="84" spans="2:16" x14ac:dyDescent="0.25">
      <c r="C84" s="43" t="s">
        <v>168</v>
      </c>
      <c r="D84" s="136">
        <v>1</v>
      </c>
      <c r="E84" s="136">
        <v>4.62</v>
      </c>
      <c r="F84" s="136">
        <v>1</v>
      </c>
      <c r="G84" s="136">
        <v>1</v>
      </c>
      <c r="H84" s="118">
        <v>1</v>
      </c>
      <c r="I84" s="118"/>
      <c r="J84" s="118"/>
      <c r="K84" s="118"/>
      <c r="L84" s="118"/>
      <c r="M84" s="118"/>
      <c r="N84" s="118"/>
      <c r="O84" s="118"/>
      <c r="P84" s="118"/>
    </row>
    <row r="85" spans="2:16" x14ac:dyDescent="0.25">
      <c r="C85" s="43" t="s">
        <v>169</v>
      </c>
      <c r="D85" s="136">
        <v>1</v>
      </c>
      <c r="E85" s="136">
        <v>10.53</v>
      </c>
      <c r="F85" s="136">
        <v>1.47</v>
      </c>
      <c r="G85" s="136">
        <v>2.57</v>
      </c>
      <c r="H85" s="118">
        <v>1</v>
      </c>
      <c r="I85" s="118"/>
      <c r="J85" s="118"/>
      <c r="K85" s="118"/>
      <c r="L85" s="118"/>
      <c r="M85" s="118"/>
      <c r="N85" s="118"/>
      <c r="O85" s="118"/>
      <c r="P85" s="118"/>
    </row>
    <row r="86" spans="2:16" x14ac:dyDescent="0.25">
      <c r="B86" s="35" t="s">
        <v>16</v>
      </c>
      <c r="C86" s="43" t="s">
        <v>166</v>
      </c>
      <c r="D86" s="135">
        <v>1</v>
      </c>
      <c r="E86" s="135">
        <v>1</v>
      </c>
      <c r="F86" s="135">
        <v>1</v>
      </c>
      <c r="G86" s="135">
        <v>1</v>
      </c>
      <c r="H86" s="118">
        <v>1</v>
      </c>
      <c r="I86" s="118"/>
      <c r="J86" s="118"/>
      <c r="K86" s="118"/>
      <c r="L86" s="118"/>
      <c r="M86" s="118"/>
      <c r="N86" s="118"/>
      <c r="O86" s="118"/>
      <c r="P86" s="118"/>
    </row>
    <row r="87" spans="2:16" x14ac:dyDescent="0.25">
      <c r="C87" s="43" t="s">
        <v>167</v>
      </c>
      <c r="D87" s="136">
        <v>1</v>
      </c>
      <c r="E87" s="136">
        <v>1.66</v>
      </c>
      <c r="F87" s="136">
        <v>1</v>
      </c>
      <c r="G87" s="136">
        <v>1</v>
      </c>
      <c r="H87" s="118">
        <v>1</v>
      </c>
      <c r="I87" s="118"/>
      <c r="J87" s="118"/>
      <c r="K87" s="118"/>
      <c r="L87" s="118"/>
      <c r="M87" s="118"/>
      <c r="N87" s="118"/>
      <c r="O87" s="118"/>
      <c r="P87" s="118"/>
    </row>
    <row r="88" spans="2:16" x14ac:dyDescent="0.25">
      <c r="C88" s="43" t="s">
        <v>168</v>
      </c>
      <c r="D88" s="136">
        <v>1</v>
      </c>
      <c r="E88" s="136">
        <v>2.5</v>
      </c>
      <c r="F88" s="136">
        <v>1</v>
      </c>
      <c r="G88" s="136">
        <v>1</v>
      </c>
      <c r="H88" s="118">
        <v>1</v>
      </c>
      <c r="I88" s="118"/>
      <c r="J88" s="118"/>
      <c r="K88" s="118"/>
      <c r="L88" s="118"/>
      <c r="M88" s="118"/>
      <c r="N88" s="118"/>
      <c r="O88" s="118"/>
      <c r="P88" s="118"/>
    </row>
    <row r="89" spans="2:16" x14ac:dyDescent="0.25">
      <c r="C89" s="43" t="s">
        <v>169</v>
      </c>
      <c r="D89" s="136">
        <v>1</v>
      </c>
      <c r="E89" s="136">
        <v>14.97</v>
      </c>
      <c r="F89" s="136">
        <v>1.92</v>
      </c>
      <c r="G89" s="136">
        <v>1.92</v>
      </c>
      <c r="H89" s="118">
        <v>1</v>
      </c>
      <c r="I89" s="118"/>
      <c r="J89" s="118"/>
      <c r="K89" s="118"/>
      <c r="L89" s="118"/>
      <c r="M89" s="118"/>
      <c r="N89" s="118"/>
      <c r="O89" s="118"/>
      <c r="P89" s="118"/>
    </row>
    <row r="90" spans="2:16" x14ac:dyDescent="0.25">
      <c r="B90" s="35" t="s">
        <v>18</v>
      </c>
      <c r="C90" s="43" t="s">
        <v>166</v>
      </c>
      <c r="D90" s="135">
        <v>1</v>
      </c>
      <c r="E90" s="135">
        <v>1</v>
      </c>
      <c r="F90" s="135">
        <v>1</v>
      </c>
      <c r="G90" s="135">
        <v>1</v>
      </c>
      <c r="H90" s="118">
        <v>1</v>
      </c>
      <c r="I90" s="118"/>
      <c r="J90" s="118"/>
      <c r="K90" s="118"/>
      <c r="L90" s="118"/>
      <c r="M90" s="118"/>
      <c r="N90" s="118"/>
      <c r="O90" s="118"/>
      <c r="P90" s="118"/>
    </row>
    <row r="91" spans="2:16" x14ac:dyDescent="0.25">
      <c r="C91" s="43" t="s">
        <v>167</v>
      </c>
      <c r="D91" s="136">
        <v>1</v>
      </c>
      <c r="E91" s="136">
        <v>1.48</v>
      </c>
      <c r="F91" s="136">
        <v>1</v>
      </c>
      <c r="G91" s="136">
        <v>1</v>
      </c>
      <c r="H91" s="118">
        <v>1</v>
      </c>
      <c r="I91" s="118"/>
      <c r="J91" s="118"/>
      <c r="K91" s="118"/>
      <c r="L91" s="118"/>
      <c r="M91" s="118"/>
      <c r="N91" s="118"/>
      <c r="O91" s="118"/>
      <c r="P91" s="118"/>
    </row>
    <row r="92" spans="2:16" x14ac:dyDescent="0.25">
      <c r="C92" s="43" t="s">
        <v>168</v>
      </c>
      <c r="D92" s="136">
        <v>1</v>
      </c>
      <c r="E92" s="136">
        <v>2.84</v>
      </c>
      <c r="F92" s="136">
        <v>1</v>
      </c>
      <c r="G92" s="136">
        <v>1</v>
      </c>
      <c r="H92" s="118">
        <v>1</v>
      </c>
      <c r="I92" s="118"/>
      <c r="J92" s="118"/>
      <c r="K92" s="118"/>
      <c r="L92" s="118"/>
      <c r="M92" s="118"/>
      <c r="N92" s="118"/>
      <c r="O92" s="118"/>
      <c r="P92" s="118"/>
    </row>
    <row r="93" spans="2:16" x14ac:dyDescent="0.25">
      <c r="C93" s="43" t="s">
        <v>169</v>
      </c>
      <c r="D93" s="136">
        <v>1</v>
      </c>
      <c r="E93" s="136">
        <v>14.4</v>
      </c>
      <c r="F93" s="136">
        <v>3.69</v>
      </c>
      <c r="G93" s="136">
        <v>3.69</v>
      </c>
      <c r="H93" s="118">
        <v>1</v>
      </c>
      <c r="I93" s="118"/>
      <c r="J93" s="118"/>
      <c r="K93" s="118"/>
      <c r="L93" s="118"/>
      <c r="M93" s="118"/>
      <c r="N93" s="118"/>
      <c r="O93" s="118"/>
      <c r="P93" s="118"/>
    </row>
    <row r="94" spans="2:16" x14ac:dyDescent="0.25">
      <c r="B94" s="35" t="s">
        <v>17</v>
      </c>
      <c r="C94" s="43" t="s">
        <v>166</v>
      </c>
      <c r="D94" s="135">
        <v>1</v>
      </c>
      <c r="E94" s="135">
        <v>1</v>
      </c>
      <c r="F94" s="135">
        <v>1</v>
      </c>
      <c r="G94" s="135">
        <v>1</v>
      </c>
      <c r="H94" s="118">
        <v>1</v>
      </c>
      <c r="I94" s="118"/>
      <c r="J94" s="118"/>
      <c r="K94" s="118"/>
      <c r="L94" s="118"/>
      <c r="M94" s="118"/>
      <c r="N94" s="118"/>
      <c r="O94" s="118"/>
      <c r="P94" s="118"/>
    </row>
    <row r="95" spans="2:16" x14ac:dyDescent="0.25">
      <c r="C95" s="43" t="s">
        <v>167</v>
      </c>
      <c r="D95" s="136">
        <v>1</v>
      </c>
      <c r="E95" s="136">
        <v>1.48</v>
      </c>
      <c r="F95" s="136">
        <v>1</v>
      </c>
      <c r="G95" s="136">
        <v>1</v>
      </c>
      <c r="H95" s="118">
        <v>1</v>
      </c>
      <c r="I95" s="118"/>
      <c r="J95" s="118"/>
      <c r="K95" s="118"/>
      <c r="L95" s="118"/>
      <c r="M95" s="118"/>
      <c r="N95" s="118"/>
      <c r="O95" s="118"/>
      <c r="P95" s="118"/>
    </row>
    <row r="96" spans="2:16" x14ac:dyDescent="0.25">
      <c r="C96" s="43" t="s">
        <v>168</v>
      </c>
      <c r="D96" s="136">
        <v>1</v>
      </c>
      <c r="E96" s="136">
        <v>2.84</v>
      </c>
      <c r="F96" s="136">
        <v>1</v>
      </c>
      <c r="G96" s="136">
        <v>1</v>
      </c>
      <c r="H96" s="118">
        <v>1</v>
      </c>
      <c r="I96" s="118"/>
      <c r="J96" s="118"/>
      <c r="K96" s="118"/>
      <c r="L96" s="118"/>
      <c r="M96" s="118"/>
      <c r="N96" s="118"/>
      <c r="O96" s="118"/>
      <c r="P96" s="118"/>
    </row>
    <row r="97" spans="1:16" x14ac:dyDescent="0.25">
      <c r="C97" s="43" t="s">
        <v>169</v>
      </c>
      <c r="D97" s="136">
        <v>1</v>
      </c>
      <c r="E97" s="136">
        <v>14.4</v>
      </c>
      <c r="F97" s="136">
        <v>3.69</v>
      </c>
      <c r="G97" s="136">
        <v>3.69</v>
      </c>
      <c r="H97" s="118">
        <v>1</v>
      </c>
      <c r="I97" s="118"/>
      <c r="J97" s="118"/>
      <c r="K97" s="118"/>
      <c r="L97" s="118"/>
      <c r="M97" s="118"/>
      <c r="N97" s="118"/>
      <c r="O97" s="118"/>
      <c r="P97" s="118"/>
    </row>
    <row r="98" spans="1:16" x14ac:dyDescent="0.25">
      <c r="B98" s="35" t="s">
        <v>20</v>
      </c>
      <c r="C98" s="43" t="s">
        <v>166</v>
      </c>
      <c r="D98" s="135">
        <v>1</v>
      </c>
      <c r="E98" s="135">
        <v>1</v>
      </c>
      <c r="F98" s="135">
        <v>1</v>
      </c>
      <c r="G98" s="135">
        <v>1</v>
      </c>
      <c r="H98" s="118">
        <v>1</v>
      </c>
      <c r="I98" s="118"/>
      <c r="J98" s="118"/>
      <c r="K98" s="118"/>
      <c r="L98" s="118"/>
      <c r="M98" s="118"/>
      <c r="N98" s="118"/>
      <c r="O98" s="118"/>
      <c r="P98" s="118"/>
    </row>
    <row r="99" spans="1:16" x14ac:dyDescent="0.25">
      <c r="C99" s="43" t="s">
        <v>167</v>
      </c>
      <c r="D99" s="136">
        <v>1</v>
      </c>
      <c r="E99" s="136">
        <v>1.48</v>
      </c>
      <c r="F99" s="136">
        <v>1</v>
      </c>
      <c r="G99" s="136">
        <v>1</v>
      </c>
      <c r="H99" s="118">
        <v>1</v>
      </c>
      <c r="I99" s="118"/>
      <c r="J99" s="118"/>
      <c r="K99" s="118"/>
      <c r="L99" s="118"/>
      <c r="M99" s="118"/>
      <c r="N99" s="118"/>
      <c r="O99" s="118"/>
      <c r="P99" s="118"/>
    </row>
    <row r="100" spans="1:16" x14ac:dyDescent="0.25">
      <c r="C100" s="43" t="s">
        <v>168</v>
      </c>
      <c r="D100" s="136">
        <v>1</v>
      </c>
      <c r="E100" s="136">
        <v>2.84</v>
      </c>
      <c r="F100" s="136">
        <v>1</v>
      </c>
      <c r="G100" s="136">
        <v>1</v>
      </c>
      <c r="H100" s="118">
        <v>1</v>
      </c>
      <c r="I100" s="118"/>
      <c r="J100" s="118"/>
      <c r="K100" s="118"/>
      <c r="L100" s="118"/>
      <c r="M100" s="118"/>
      <c r="N100" s="118"/>
      <c r="O100" s="118"/>
      <c r="P100" s="118"/>
    </row>
    <row r="101" spans="1:16" x14ac:dyDescent="0.25">
      <c r="C101" s="43" t="s">
        <v>169</v>
      </c>
      <c r="D101" s="136">
        <v>1</v>
      </c>
      <c r="E101" s="136">
        <v>14.4</v>
      </c>
      <c r="F101" s="136">
        <v>3.69</v>
      </c>
      <c r="G101" s="136">
        <v>3.69</v>
      </c>
      <c r="H101" s="118">
        <v>1</v>
      </c>
      <c r="I101" s="118"/>
      <c r="J101" s="118"/>
      <c r="K101" s="118"/>
      <c r="L101" s="118"/>
      <c r="M101" s="118"/>
      <c r="N101" s="118"/>
      <c r="O101" s="118"/>
      <c r="P101" s="118"/>
    </row>
    <row r="103" spans="1:16" s="100" customFormat="1" x14ac:dyDescent="0.25">
      <c r="A103" s="99" t="s">
        <v>246</v>
      </c>
    </row>
    <row r="104" spans="1:16" s="36" customFormat="1" ht="26.4" x14ac:dyDescent="0.25">
      <c r="A104" s="121" t="s">
        <v>71</v>
      </c>
      <c r="B104" s="126" t="s">
        <v>169</v>
      </c>
      <c r="C104" s="123" t="s">
        <v>245</v>
      </c>
      <c r="D104" s="103" t="s">
        <v>1</v>
      </c>
      <c r="E104" s="103" t="s">
        <v>2</v>
      </c>
      <c r="F104" s="103" t="s">
        <v>3</v>
      </c>
      <c r="G104" s="103" t="s">
        <v>4</v>
      </c>
      <c r="H104" s="124" t="s">
        <v>5</v>
      </c>
      <c r="I104" s="120"/>
      <c r="J104" s="120"/>
      <c r="K104" s="120"/>
      <c r="L104" s="120"/>
      <c r="M104" s="120"/>
      <c r="N104" s="120"/>
      <c r="O104" s="120"/>
      <c r="P104" s="120"/>
    </row>
    <row r="105" spans="1:16" x14ac:dyDescent="0.25">
      <c r="A105" s="40"/>
      <c r="B105" s="36"/>
      <c r="C105" s="43" t="s">
        <v>166</v>
      </c>
      <c r="D105" s="135">
        <v>1</v>
      </c>
      <c r="E105" s="135">
        <v>1</v>
      </c>
      <c r="F105" s="135">
        <v>1</v>
      </c>
      <c r="G105" s="135">
        <v>1</v>
      </c>
      <c r="H105" s="118">
        <v>1</v>
      </c>
      <c r="I105" s="118"/>
      <c r="J105" s="118"/>
      <c r="K105" s="118"/>
      <c r="L105" s="118"/>
      <c r="M105" s="118"/>
      <c r="N105" s="118"/>
      <c r="O105" s="118"/>
      <c r="P105" s="118"/>
    </row>
    <row r="106" spans="1:16" x14ac:dyDescent="0.25">
      <c r="C106" s="43" t="s">
        <v>167</v>
      </c>
      <c r="D106" s="136">
        <v>1.26</v>
      </c>
      <c r="E106" s="136">
        <v>1.26</v>
      </c>
      <c r="F106" s="136">
        <v>1</v>
      </c>
      <c r="G106" s="136">
        <v>1</v>
      </c>
      <c r="H106" s="118">
        <v>1</v>
      </c>
      <c r="I106" s="118"/>
      <c r="J106" s="118"/>
      <c r="K106" s="118"/>
      <c r="L106" s="118"/>
      <c r="M106" s="118"/>
      <c r="N106" s="118"/>
      <c r="O106" s="118"/>
      <c r="P106" s="118"/>
    </row>
    <row r="107" spans="1:16" x14ac:dyDescent="0.25">
      <c r="C107" s="43" t="s">
        <v>168</v>
      </c>
      <c r="D107" s="136">
        <v>1.68</v>
      </c>
      <c r="E107" s="136">
        <v>1.68</v>
      </c>
      <c r="F107" s="136">
        <v>1</v>
      </c>
      <c r="G107" s="136">
        <v>1</v>
      </c>
      <c r="H107" s="118">
        <v>1</v>
      </c>
      <c r="I107" s="118"/>
      <c r="J107" s="118"/>
      <c r="K107" s="118"/>
      <c r="L107" s="118"/>
      <c r="M107" s="118"/>
      <c r="N107" s="118"/>
      <c r="O107" s="118"/>
      <c r="P107" s="118"/>
    </row>
    <row r="108" spans="1:16" x14ac:dyDescent="0.25">
      <c r="C108" s="43" t="s">
        <v>169</v>
      </c>
      <c r="D108" s="136">
        <v>2.65</v>
      </c>
      <c r="E108" s="136">
        <v>2.65</v>
      </c>
      <c r="F108" s="136">
        <v>2.0699999999999998</v>
      </c>
      <c r="G108" s="136">
        <v>2.0699999999999998</v>
      </c>
      <c r="H108" s="118">
        <v>1</v>
      </c>
      <c r="I108" s="118"/>
      <c r="J108" s="118"/>
      <c r="K108" s="118"/>
      <c r="L108" s="118"/>
      <c r="M108" s="118"/>
      <c r="N108" s="118"/>
      <c r="O108" s="118"/>
      <c r="P108" s="118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00" customFormat="1" ht="14.25" customHeight="1" x14ac:dyDescent="0.25">
      <c r="A1" s="99" t="s">
        <v>247</v>
      </c>
    </row>
    <row r="2" spans="1:7" ht="14.25" customHeight="1" x14ac:dyDescent="0.25">
      <c r="A2" s="125" t="s">
        <v>25</v>
      </c>
      <c r="B2" s="119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3" t="s">
        <v>248</v>
      </c>
      <c r="C3" s="136" t="s">
        <v>249</v>
      </c>
      <c r="D3" s="136">
        <v>45</v>
      </c>
      <c r="E3" s="136">
        <v>361.6</v>
      </c>
      <c r="F3" s="136">
        <v>174.7</v>
      </c>
      <c r="G3" s="136">
        <v>174.7</v>
      </c>
    </row>
    <row r="4" spans="1:7" ht="14.25" customHeight="1" x14ac:dyDescent="0.25">
      <c r="A4" s="40"/>
      <c r="B4" s="117" t="s">
        <v>250</v>
      </c>
      <c r="C4" s="136">
        <v>1.0249999999999999</v>
      </c>
      <c r="D4" s="136">
        <v>1.0249999999999999</v>
      </c>
      <c r="E4" s="136">
        <v>1.0249999999999999</v>
      </c>
      <c r="F4" s="136">
        <v>1.0249999999999999</v>
      </c>
      <c r="G4" s="136">
        <v>1.0249999999999999</v>
      </c>
    </row>
    <row r="5" spans="1:7" ht="14.25" customHeight="1" x14ac:dyDescent="0.25">
      <c r="A5" s="104" t="s">
        <v>251</v>
      </c>
    </row>
    <row r="6" spans="1:7" ht="14.25" customHeight="1" x14ac:dyDescent="0.25">
      <c r="B6" s="117" t="s">
        <v>58</v>
      </c>
      <c r="C6" s="136">
        <v>1</v>
      </c>
      <c r="D6" s="136">
        <v>1</v>
      </c>
      <c r="E6" s="136">
        <v>0.89</v>
      </c>
      <c r="F6" s="136">
        <v>0.89</v>
      </c>
      <c r="G6" s="136">
        <v>1</v>
      </c>
    </row>
    <row r="7" spans="1:7" ht="14.25" customHeight="1" x14ac:dyDescent="0.25">
      <c r="B7" s="117" t="s">
        <v>136</v>
      </c>
      <c r="C7" s="136">
        <v>1</v>
      </c>
      <c r="D7" s="136">
        <v>1</v>
      </c>
      <c r="E7" s="136">
        <v>0.89</v>
      </c>
      <c r="F7" s="136">
        <v>0.89</v>
      </c>
      <c r="G7" s="136">
        <v>1</v>
      </c>
    </row>
    <row r="8" spans="1:7" ht="14.25" customHeight="1" x14ac:dyDescent="0.25">
      <c r="B8" s="117" t="s">
        <v>60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</row>
    <row r="9" spans="1:7" ht="14.25" customHeight="1" x14ac:dyDescent="0.25">
      <c r="B9" s="117"/>
      <c r="C9" s="117"/>
      <c r="D9" s="117"/>
      <c r="E9" s="117"/>
      <c r="F9" s="117"/>
      <c r="G9" s="117"/>
    </row>
    <row r="10" spans="1:7" s="100" customFormat="1" ht="14.25" customHeight="1" x14ac:dyDescent="0.25">
      <c r="A10" s="99" t="s">
        <v>252</v>
      </c>
    </row>
    <row r="11" spans="1:7" ht="14.25" customHeight="1" x14ac:dyDescent="0.25">
      <c r="A11" s="104"/>
      <c r="B11" s="113" t="s">
        <v>195</v>
      </c>
      <c r="C11" s="136">
        <v>1.5</v>
      </c>
      <c r="D11" s="136">
        <v>1.39</v>
      </c>
      <c r="E11" s="136">
        <v>1</v>
      </c>
      <c r="F11" s="136">
        <v>1</v>
      </c>
      <c r="G11" s="136">
        <v>1</v>
      </c>
    </row>
    <row r="12" spans="1:7" ht="14.25" customHeight="1" x14ac:dyDescent="0.25">
      <c r="A12" s="104"/>
      <c r="B12" s="113"/>
    </row>
    <row r="13" spans="1:7" s="100" customFormat="1" ht="14.25" customHeight="1" x14ac:dyDescent="0.25">
      <c r="A13" s="99" t="s">
        <v>253</v>
      </c>
    </row>
    <row r="14" spans="1:7" ht="14.25" customHeight="1" x14ac:dyDescent="0.25">
      <c r="A14" s="125" t="s">
        <v>238</v>
      </c>
      <c r="B14" s="117" t="s">
        <v>254</v>
      </c>
      <c r="C14" s="136">
        <v>1.0249999999999999</v>
      </c>
      <c r="D14" s="136">
        <v>1.0249999999999999</v>
      </c>
      <c r="E14" s="136">
        <v>1.0249999999999999</v>
      </c>
      <c r="F14" s="136">
        <v>1.0249999999999999</v>
      </c>
      <c r="G14" s="136">
        <v>1.0249999999999999</v>
      </c>
    </row>
    <row r="15" spans="1:7" ht="14.25" customHeight="1" x14ac:dyDescent="0.25">
      <c r="A15" s="40"/>
      <c r="B15" s="117" t="s">
        <v>255</v>
      </c>
      <c r="C15" s="136">
        <v>1.0249999999999999</v>
      </c>
      <c r="D15" s="136">
        <v>1.0249999999999999</v>
      </c>
      <c r="E15" s="136">
        <v>1.0249999999999999</v>
      </c>
      <c r="F15" s="136">
        <v>1.0249999999999999</v>
      </c>
      <c r="G15" s="136">
        <v>1.0249999999999999</v>
      </c>
    </row>
    <row r="16" spans="1:7" ht="14.25" customHeight="1" x14ac:dyDescent="0.25">
      <c r="A16" s="125" t="s">
        <v>70</v>
      </c>
      <c r="B16" s="113" t="s">
        <v>256</v>
      </c>
      <c r="C16" s="136">
        <v>1</v>
      </c>
      <c r="D16" s="136">
        <v>1</v>
      </c>
      <c r="E16" s="136">
        <v>1</v>
      </c>
      <c r="F16" s="136">
        <v>1</v>
      </c>
      <c r="G16" s="136">
        <v>1</v>
      </c>
    </row>
    <row r="17" spans="1:6" ht="14.25" customHeight="1" x14ac:dyDescent="0.25"/>
    <row r="18" spans="1:6" s="100" customFormat="1" ht="14.25" customHeight="1" x14ac:dyDescent="0.25">
      <c r="A18" s="99" t="s">
        <v>257</v>
      </c>
    </row>
    <row r="19" spans="1:6" s="104" customFormat="1" ht="14.25" customHeight="1" x14ac:dyDescent="0.25">
      <c r="C19" s="56" t="s">
        <v>49</v>
      </c>
      <c r="D19" s="56" t="s">
        <v>50</v>
      </c>
      <c r="E19" s="56" t="s">
        <v>51</v>
      </c>
      <c r="F19" s="56" t="s">
        <v>52</v>
      </c>
    </row>
    <row r="20" spans="1:6" x14ac:dyDescent="0.25">
      <c r="B20" s="113" t="s">
        <v>197</v>
      </c>
      <c r="C20" s="136">
        <v>1.52</v>
      </c>
      <c r="D20" s="136">
        <v>1</v>
      </c>
      <c r="E20" s="136">
        <v>1</v>
      </c>
      <c r="F20" s="136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F20"/>
  <sheetViews>
    <sheetView workbookViewId="0">
      <selection activeCell="F8" sqref="F8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19" t="s">
        <v>69</v>
      </c>
      <c r="B1" s="40"/>
      <c r="C1" s="40" t="s">
        <v>9</v>
      </c>
      <c r="D1" s="40" t="s">
        <v>12</v>
      </c>
      <c r="E1" s="40" t="s">
        <v>11</v>
      </c>
      <c r="F1" s="119" t="s">
        <v>26</v>
      </c>
    </row>
    <row r="2" spans="1:6" ht="15.75" customHeight="1" x14ac:dyDescent="0.25">
      <c r="A2" s="90" t="s">
        <v>29</v>
      </c>
      <c r="B2" s="90" t="s">
        <v>258</v>
      </c>
      <c r="C2" s="136">
        <v>0.21</v>
      </c>
      <c r="D2" s="136">
        <v>0.21</v>
      </c>
      <c r="E2" s="136">
        <v>0</v>
      </c>
      <c r="F2" s="136">
        <v>0</v>
      </c>
    </row>
    <row r="3" spans="1:6" ht="15.75" customHeight="1" x14ac:dyDescent="0.25">
      <c r="A3" s="90"/>
      <c r="B3" s="90" t="s">
        <v>259</v>
      </c>
      <c r="C3" s="136">
        <v>1</v>
      </c>
      <c r="D3" s="136">
        <v>1</v>
      </c>
      <c r="E3" s="136">
        <v>1</v>
      </c>
      <c r="F3" s="136">
        <v>1</v>
      </c>
    </row>
    <row r="4" spans="1:6" ht="15.75" customHeight="1" x14ac:dyDescent="0.25">
      <c r="A4" s="90" t="s">
        <v>187</v>
      </c>
      <c r="B4" s="90" t="s">
        <v>258</v>
      </c>
      <c r="C4" s="136">
        <v>0.15</v>
      </c>
      <c r="D4" s="136">
        <v>0.15</v>
      </c>
      <c r="E4" s="136">
        <v>0</v>
      </c>
      <c r="F4" s="136">
        <v>0</v>
      </c>
    </row>
    <row r="5" spans="1:6" ht="15.75" customHeight="1" x14ac:dyDescent="0.25">
      <c r="A5" s="90"/>
      <c r="B5" s="90" t="s">
        <v>259</v>
      </c>
      <c r="C5" s="136">
        <v>1</v>
      </c>
      <c r="D5" s="136">
        <v>1</v>
      </c>
      <c r="E5" s="136">
        <v>1</v>
      </c>
      <c r="F5" s="136">
        <v>1</v>
      </c>
    </row>
    <row r="6" spans="1:6" ht="15.75" customHeight="1" x14ac:dyDescent="0.25">
      <c r="A6" s="90" t="s">
        <v>207</v>
      </c>
      <c r="B6" s="90" t="s">
        <v>258</v>
      </c>
      <c r="C6" s="136">
        <v>0.15</v>
      </c>
      <c r="D6" s="136">
        <v>0.15</v>
      </c>
      <c r="E6" s="136">
        <v>0</v>
      </c>
      <c r="F6" s="136">
        <v>0</v>
      </c>
    </row>
    <row r="7" spans="1:6" ht="15.75" customHeight="1" x14ac:dyDescent="0.25">
      <c r="A7" s="90"/>
      <c r="B7" s="90" t="s">
        <v>259</v>
      </c>
      <c r="C7" s="136">
        <v>1</v>
      </c>
      <c r="D7" s="136">
        <v>1</v>
      </c>
      <c r="E7" s="136">
        <v>1</v>
      </c>
      <c r="F7" s="136">
        <v>1</v>
      </c>
    </row>
    <row r="8" spans="1:6" ht="15.75" customHeight="1" x14ac:dyDescent="0.25">
      <c r="A8" s="90" t="s">
        <v>57</v>
      </c>
      <c r="B8" s="90" t="s">
        <v>258</v>
      </c>
      <c r="C8" s="136">
        <v>0.35</v>
      </c>
      <c r="D8" s="136">
        <v>0.35</v>
      </c>
      <c r="E8" s="136">
        <v>0</v>
      </c>
      <c r="F8" s="136">
        <v>0</v>
      </c>
    </row>
    <row r="9" spans="1:6" ht="15.75" customHeight="1" x14ac:dyDescent="0.25">
      <c r="A9" s="90"/>
      <c r="B9" s="90" t="s">
        <v>259</v>
      </c>
      <c r="C9" s="136">
        <v>1</v>
      </c>
      <c r="D9" s="136">
        <v>1</v>
      </c>
      <c r="E9" s="136">
        <v>0</v>
      </c>
      <c r="F9" s="136">
        <v>0</v>
      </c>
    </row>
    <row r="10" spans="1:6" ht="15.75" customHeight="1" x14ac:dyDescent="0.25">
      <c r="A10" s="90" t="s">
        <v>34</v>
      </c>
      <c r="B10" s="90" t="s">
        <v>258</v>
      </c>
      <c r="C10" s="136">
        <v>0.35</v>
      </c>
      <c r="D10" s="136">
        <v>0.35</v>
      </c>
      <c r="E10" s="136">
        <v>0</v>
      </c>
      <c r="F10" s="136">
        <v>0</v>
      </c>
    </row>
    <row r="11" spans="1:6" ht="15.75" customHeight="1" x14ac:dyDescent="0.25">
      <c r="A11" s="90"/>
      <c r="B11" s="90" t="s">
        <v>259</v>
      </c>
      <c r="C11" s="136">
        <v>1</v>
      </c>
      <c r="D11" s="136">
        <v>1</v>
      </c>
      <c r="E11" s="136">
        <v>0</v>
      </c>
      <c r="F11" s="136">
        <v>0</v>
      </c>
    </row>
    <row r="12" spans="1:6" ht="15.75" customHeight="1" x14ac:dyDescent="0.25">
      <c r="A12" s="90" t="s">
        <v>59</v>
      </c>
      <c r="B12" s="90" t="s">
        <v>258</v>
      </c>
      <c r="C12" s="136">
        <v>0.23</v>
      </c>
      <c r="D12" s="136">
        <v>0.23</v>
      </c>
      <c r="E12" s="136">
        <v>0</v>
      </c>
      <c r="F12" s="136">
        <v>0</v>
      </c>
    </row>
    <row r="13" spans="1:6" ht="15.75" customHeight="1" x14ac:dyDescent="0.25">
      <c r="A13" s="90"/>
      <c r="B13" s="90" t="s">
        <v>259</v>
      </c>
      <c r="C13" s="136">
        <v>1</v>
      </c>
      <c r="D13" s="136">
        <v>1</v>
      </c>
      <c r="E13" s="136">
        <v>1</v>
      </c>
      <c r="F13" s="136">
        <v>1</v>
      </c>
    </row>
    <row r="19" spans="1:1" ht="15.75" customHeight="1" x14ac:dyDescent="0.25">
      <c r="A19" s="90"/>
    </row>
    <row r="20" spans="1:1" ht="15.75" customHeight="1" x14ac:dyDescent="0.25">
      <c r="A20" s="90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O28"/>
  <sheetViews>
    <sheetView topLeftCell="G1" workbookViewId="0">
      <selection activeCell="F8" sqref="F8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03" t="s">
        <v>1</v>
      </c>
      <c r="D1" s="103" t="s">
        <v>2</v>
      </c>
      <c r="E1" s="103" t="s">
        <v>3</v>
      </c>
      <c r="F1" s="103" t="s">
        <v>4</v>
      </c>
      <c r="G1" s="103" t="s">
        <v>5</v>
      </c>
      <c r="H1" s="103" t="s">
        <v>49</v>
      </c>
      <c r="I1" s="103" t="s">
        <v>50</v>
      </c>
      <c r="J1" s="103" t="s">
        <v>51</v>
      </c>
      <c r="K1" s="103" t="s">
        <v>52</v>
      </c>
      <c r="L1" s="103" t="s">
        <v>53</v>
      </c>
      <c r="M1" s="103" t="s">
        <v>54</v>
      </c>
      <c r="N1" s="103" t="s">
        <v>55</v>
      </c>
      <c r="O1" s="103" t="s">
        <v>56</v>
      </c>
    </row>
    <row r="2" spans="1:15" x14ac:dyDescent="0.25">
      <c r="A2" s="40" t="s">
        <v>260</v>
      </c>
    </row>
    <row r="3" spans="1:15" x14ac:dyDescent="0.25">
      <c r="B3" s="59" t="s">
        <v>149</v>
      </c>
      <c r="C3" s="136">
        <v>0.53</v>
      </c>
      <c r="D3" s="136">
        <v>0.53</v>
      </c>
      <c r="E3" s="136">
        <v>1</v>
      </c>
      <c r="F3" s="136">
        <v>1</v>
      </c>
      <c r="G3" s="136">
        <v>1</v>
      </c>
      <c r="H3" s="136">
        <v>1</v>
      </c>
      <c r="I3" s="136">
        <v>1</v>
      </c>
      <c r="J3" s="136">
        <v>1</v>
      </c>
      <c r="K3" s="136">
        <v>1</v>
      </c>
      <c r="L3" s="136">
        <v>1</v>
      </c>
      <c r="M3" s="136">
        <v>1</v>
      </c>
      <c r="N3" s="136">
        <v>1</v>
      </c>
      <c r="O3" s="136">
        <v>1</v>
      </c>
    </row>
    <row r="4" spans="1:15" x14ac:dyDescent="0.25">
      <c r="B4" s="59" t="s">
        <v>188</v>
      </c>
      <c r="C4" s="136">
        <v>1</v>
      </c>
      <c r="D4" s="136">
        <v>1</v>
      </c>
      <c r="E4" s="136">
        <v>1</v>
      </c>
      <c r="F4" s="136">
        <v>1</v>
      </c>
      <c r="G4" s="136">
        <v>1</v>
      </c>
      <c r="H4" s="136">
        <v>0.73</v>
      </c>
      <c r="I4" s="136">
        <v>0.73</v>
      </c>
      <c r="J4" s="136">
        <v>0.73</v>
      </c>
      <c r="K4" s="136">
        <v>0.73</v>
      </c>
      <c r="L4" s="136">
        <v>1</v>
      </c>
      <c r="M4" s="136">
        <v>1</v>
      </c>
      <c r="N4" s="136">
        <v>1</v>
      </c>
      <c r="O4" s="136">
        <v>1</v>
      </c>
    </row>
    <row r="5" spans="1:15" x14ac:dyDescent="0.25">
      <c r="B5" s="59" t="s">
        <v>206</v>
      </c>
      <c r="C5" s="136">
        <v>1</v>
      </c>
      <c r="D5" s="136">
        <v>1</v>
      </c>
      <c r="E5" s="136">
        <v>1</v>
      </c>
      <c r="F5" s="136">
        <v>1</v>
      </c>
      <c r="G5" s="136">
        <v>1</v>
      </c>
      <c r="H5" s="136">
        <v>0.73</v>
      </c>
      <c r="I5" s="136">
        <v>0.73</v>
      </c>
      <c r="J5" s="136">
        <v>0.73</v>
      </c>
      <c r="K5" s="136">
        <v>0.73</v>
      </c>
      <c r="L5" s="136">
        <v>1</v>
      </c>
      <c r="M5" s="136">
        <v>1</v>
      </c>
      <c r="N5" s="136">
        <v>1</v>
      </c>
      <c r="O5" s="136">
        <v>1</v>
      </c>
    </row>
    <row r="6" spans="1:15" x14ac:dyDescent="0.25">
      <c r="B6" s="59" t="s">
        <v>189</v>
      </c>
      <c r="C6" s="136">
        <v>1</v>
      </c>
      <c r="D6" s="136">
        <v>1</v>
      </c>
      <c r="E6" s="136">
        <v>1</v>
      </c>
      <c r="F6" s="136">
        <v>1</v>
      </c>
      <c r="G6" s="136">
        <v>1</v>
      </c>
      <c r="H6" s="136">
        <v>0.73</v>
      </c>
      <c r="I6" s="136">
        <v>0.73</v>
      </c>
      <c r="J6" s="136">
        <v>0.73</v>
      </c>
      <c r="K6" s="136">
        <v>0.73</v>
      </c>
      <c r="L6" s="136">
        <v>1</v>
      </c>
      <c r="M6" s="136">
        <v>1</v>
      </c>
      <c r="N6" s="136">
        <v>1</v>
      </c>
      <c r="O6" s="136">
        <v>1</v>
      </c>
    </row>
    <row r="7" spans="1:15" x14ac:dyDescent="0.25">
      <c r="B7" s="59" t="s">
        <v>190</v>
      </c>
      <c r="C7" s="136">
        <v>1</v>
      </c>
      <c r="D7" s="136">
        <v>1</v>
      </c>
      <c r="E7" s="136">
        <v>1</v>
      </c>
      <c r="F7" s="136">
        <v>1</v>
      </c>
      <c r="G7" s="136">
        <v>1</v>
      </c>
      <c r="H7" s="136">
        <v>0.73</v>
      </c>
      <c r="I7" s="136">
        <v>0.73</v>
      </c>
      <c r="J7" s="136">
        <v>0.73</v>
      </c>
      <c r="K7" s="136">
        <v>0.73</v>
      </c>
      <c r="L7" s="136">
        <v>1</v>
      </c>
      <c r="M7" s="136">
        <v>1</v>
      </c>
      <c r="N7" s="136">
        <v>1</v>
      </c>
      <c r="O7" s="136">
        <v>1</v>
      </c>
    </row>
    <row r="8" spans="1:15" x14ac:dyDescent="0.25">
      <c r="B8" s="90" t="s">
        <v>187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  <c r="H8" s="136">
        <v>1</v>
      </c>
      <c r="I8" s="136">
        <v>1</v>
      </c>
      <c r="J8" s="136">
        <v>1</v>
      </c>
      <c r="K8" s="136">
        <v>1</v>
      </c>
      <c r="L8" s="136">
        <v>0.33</v>
      </c>
      <c r="M8" s="136">
        <v>0.33</v>
      </c>
      <c r="N8" s="136">
        <v>0.33</v>
      </c>
      <c r="O8" s="136">
        <v>0.33</v>
      </c>
    </row>
    <row r="9" spans="1:15" x14ac:dyDescent="0.25">
      <c r="B9" s="90" t="s">
        <v>207</v>
      </c>
      <c r="C9" s="136">
        <v>1</v>
      </c>
      <c r="D9" s="136">
        <v>1</v>
      </c>
      <c r="E9" s="136">
        <v>1</v>
      </c>
      <c r="F9" s="136">
        <v>1</v>
      </c>
      <c r="G9" s="136">
        <v>1</v>
      </c>
      <c r="H9" s="136">
        <v>1</v>
      </c>
      <c r="I9" s="136">
        <v>1</v>
      </c>
      <c r="J9" s="136">
        <v>1</v>
      </c>
      <c r="K9" s="136">
        <v>1</v>
      </c>
      <c r="L9" s="136">
        <v>0.33</v>
      </c>
      <c r="M9" s="136">
        <v>0.33</v>
      </c>
      <c r="N9" s="136">
        <v>0.33</v>
      </c>
      <c r="O9" s="136">
        <v>0.33</v>
      </c>
    </row>
    <row r="10" spans="1:15" x14ac:dyDescent="0.25">
      <c r="B10" s="59" t="s">
        <v>57</v>
      </c>
      <c r="C10" s="136">
        <v>1</v>
      </c>
      <c r="D10" s="136">
        <v>1</v>
      </c>
      <c r="E10" s="136">
        <v>1</v>
      </c>
      <c r="F10" s="136">
        <v>1</v>
      </c>
      <c r="G10" s="136">
        <v>1</v>
      </c>
      <c r="H10" s="136">
        <v>1</v>
      </c>
      <c r="I10" s="136">
        <v>1</v>
      </c>
      <c r="J10" s="136">
        <v>1</v>
      </c>
      <c r="K10" s="136">
        <v>1</v>
      </c>
      <c r="L10" s="136">
        <v>0.83</v>
      </c>
      <c r="M10" s="136">
        <v>0.83</v>
      </c>
      <c r="N10" s="136">
        <v>0.83</v>
      </c>
      <c r="O10" s="136">
        <v>0.83</v>
      </c>
    </row>
    <row r="11" spans="1:15" x14ac:dyDescent="0.25">
      <c r="B11" s="90" t="s">
        <v>136</v>
      </c>
      <c r="C11" s="136">
        <v>1</v>
      </c>
      <c r="D11" s="136">
        <v>1</v>
      </c>
      <c r="E11" s="136">
        <v>0.69</v>
      </c>
      <c r="F11" s="136">
        <v>0.69</v>
      </c>
      <c r="G11" s="136">
        <v>1</v>
      </c>
      <c r="H11" s="136">
        <v>1</v>
      </c>
      <c r="I11" s="136">
        <v>1</v>
      </c>
      <c r="J11" s="136">
        <v>1</v>
      </c>
      <c r="K11" s="136">
        <v>1</v>
      </c>
      <c r="L11" s="136">
        <v>1</v>
      </c>
      <c r="M11" s="136">
        <v>1</v>
      </c>
      <c r="N11" s="136">
        <v>1</v>
      </c>
      <c r="O11" s="136">
        <v>1</v>
      </c>
    </row>
    <row r="12" spans="1:15" x14ac:dyDescent="0.25">
      <c r="B12" s="59" t="s">
        <v>34</v>
      </c>
      <c r="C12" s="136">
        <v>0.83</v>
      </c>
      <c r="D12" s="136">
        <v>0.83</v>
      </c>
      <c r="E12" s="136">
        <v>0.83</v>
      </c>
      <c r="F12" s="136">
        <v>0.83</v>
      </c>
      <c r="G12" s="136">
        <v>0.83</v>
      </c>
      <c r="H12" s="136">
        <v>0.83</v>
      </c>
      <c r="I12" s="136">
        <v>0.83</v>
      </c>
      <c r="J12" s="136">
        <v>0.83</v>
      </c>
      <c r="K12" s="136">
        <v>0.83</v>
      </c>
      <c r="L12" s="136">
        <v>0.83</v>
      </c>
      <c r="M12" s="136">
        <v>0.83</v>
      </c>
      <c r="N12" s="136">
        <v>0.83</v>
      </c>
      <c r="O12" s="136">
        <v>0.83</v>
      </c>
    </row>
    <row r="13" spans="1:15" ht="13.05" customHeight="1" x14ac:dyDescent="0.25">
      <c r="B13" s="59" t="s">
        <v>137</v>
      </c>
      <c r="C13" s="136">
        <v>1</v>
      </c>
      <c r="D13" s="136">
        <v>1</v>
      </c>
      <c r="E13" s="136">
        <v>0.69</v>
      </c>
      <c r="F13" s="136">
        <v>0.69</v>
      </c>
      <c r="G13" s="136">
        <v>0.69</v>
      </c>
      <c r="H13" s="136">
        <v>1</v>
      </c>
      <c r="I13" s="136">
        <v>1</v>
      </c>
      <c r="J13" s="136">
        <v>1</v>
      </c>
      <c r="K13" s="136">
        <v>1</v>
      </c>
      <c r="L13" s="136">
        <v>1</v>
      </c>
      <c r="M13" s="136">
        <v>1</v>
      </c>
      <c r="N13" s="136">
        <v>1</v>
      </c>
      <c r="O13" s="136">
        <v>1</v>
      </c>
    </row>
    <row r="14" spans="1:15" x14ac:dyDescent="0.25">
      <c r="B14" s="59" t="s">
        <v>59</v>
      </c>
      <c r="C14" s="136">
        <v>1</v>
      </c>
      <c r="D14" s="136">
        <v>1</v>
      </c>
      <c r="E14" s="136">
        <v>1</v>
      </c>
      <c r="F14" s="136">
        <v>1</v>
      </c>
      <c r="G14" s="136">
        <v>1</v>
      </c>
      <c r="H14" s="136">
        <v>1</v>
      </c>
      <c r="I14" s="136">
        <v>1</v>
      </c>
      <c r="J14" s="136">
        <v>1</v>
      </c>
      <c r="K14" s="136">
        <v>1</v>
      </c>
      <c r="L14" s="136">
        <v>0.33</v>
      </c>
      <c r="M14" s="136">
        <v>0.33</v>
      </c>
      <c r="N14" s="136">
        <v>0.33</v>
      </c>
      <c r="O14" s="136">
        <v>0.33</v>
      </c>
    </row>
    <row r="16" spans="1:15" x14ac:dyDescent="0.25">
      <c r="A16" s="40" t="s">
        <v>261</v>
      </c>
      <c r="B16" s="59"/>
    </row>
    <row r="17" spans="2:15" x14ac:dyDescent="0.25">
      <c r="B17" s="90" t="s">
        <v>63</v>
      </c>
      <c r="C17" s="136">
        <v>1</v>
      </c>
      <c r="D17" s="136">
        <v>1</v>
      </c>
      <c r="E17" s="136">
        <v>0.97599999999999998</v>
      </c>
      <c r="F17" s="136">
        <v>0.97599999999999998</v>
      </c>
      <c r="G17" s="136">
        <v>0.97599999999999998</v>
      </c>
      <c r="H17" s="136">
        <v>0.97599999999999998</v>
      </c>
      <c r="I17" s="136">
        <v>0.97599999999999998</v>
      </c>
      <c r="J17" s="136">
        <v>0.97599999999999998</v>
      </c>
      <c r="K17" s="136">
        <v>0.97599999999999998</v>
      </c>
      <c r="L17" s="136">
        <v>0.97599999999999998</v>
      </c>
      <c r="M17" s="136">
        <v>0.97599999999999998</v>
      </c>
      <c r="N17" s="136">
        <v>0.97599999999999998</v>
      </c>
      <c r="O17" s="136">
        <v>0.97599999999999998</v>
      </c>
    </row>
    <row r="18" spans="2:15" x14ac:dyDescent="0.25">
      <c r="B18" s="90" t="s">
        <v>64</v>
      </c>
      <c r="C18" s="136">
        <v>1</v>
      </c>
      <c r="D18" s="136">
        <v>1</v>
      </c>
      <c r="E18" s="136">
        <v>0.97599999999999998</v>
      </c>
      <c r="F18" s="136">
        <v>0.97599999999999998</v>
      </c>
      <c r="G18" s="136">
        <v>0.97599999999999998</v>
      </c>
      <c r="H18" s="136">
        <v>0.97599999999999998</v>
      </c>
      <c r="I18" s="136">
        <v>0.97599999999999998</v>
      </c>
      <c r="J18" s="136">
        <v>0.97599999999999998</v>
      </c>
      <c r="K18" s="136">
        <v>0.97599999999999998</v>
      </c>
      <c r="L18" s="136">
        <v>0.97599999999999998</v>
      </c>
      <c r="M18" s="136">
        <v>0.97599999999999998</v>
      </c>
      <c r="N18" s="136">
        <v>0.97599999999999998</v>
      </c>
      <c r="O18" s="136">
        <v>0.97599999999999998</v>
      </c>
    </row>
    <row r="19" spans="2:15" x14ac:dyDescent="0.25">
      <c r="B19" s="90" t="s">
        <v>62</v>
      </c>
      <c r="C19" s="136">
        <v>1</v>
      </c>
      <c r="D19" s="136">
        <v>1</v>
      </c>
      <c r="E19" s="136">
        <v>0.97599999999999998</v>
      </c>
      <c r="F19" s="136">
        <v>0.97599999999999998</v>
      </c>
      <c r="G19" s="136">
        <v>0.97599999999999998</v>
      </c>
      <c r="H19" s="136">
        <v>0.97599999999999998</v>
      </c>
      <c r="I19" s="136">
        <v>0.97599999999999998</v>
      </c>
      <c r="J19" s="136">
        <v>0.97599999999999998</v>
      </c>
      <c r="K19" s="136">
        <v>0.97599999999999998</v>
      </c>
      <c r="L19" s="136">
        <v>0.97599999999999998</v>
      </c>
      <c r="M19" s="136">
        <v>0.97599999999999998</v>
      </c>
      <c r="N19" s="136">
        <v>0.97599999999999998</v>
      </c>
      <c r="O19" s="136">
        <v>0.97599999999999998</v>
      </c>
    </row>
    <row r="20" spans="2:15" x14ac:dyDescent="0.25">
      <c r="B20" s="90" t="s">
        <v>47</v>
      </c>
      <c r="C20" s="136">
        <v>1</v>
      </c>
      <c r="D20" s="136">
        <v>1</v>
      </c>
      <c r="E20" s="136">
        <v>0.9</v>
      </c>
      <c r="F20" s="136">
        <v>0.9</v>
      </c>
      <c r="G20" s="136">
        <v>0.9</v>
      </c>
      <c r="H20" s="136">
        <v>0.9</v>
      </c>
      <c r="I20" s="136">
        <v>0.9</v>
      </c>
      <c r="J20" s="136">
        <v>0.9</v>
      </c>
      <c r="K20" s="136">
        <v>0.9</v>
      </c>
      <c r="L20" s="136">
        <v>0.9</v>
      </c>
      <c r="M20" s="136">
        <v>0.9</v>
      </c>
      <c r="N20" s="136">
        <v>0.9</v>
      </c>
      <c r="O20" s="136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G5"/>
  <sheetViews>
    <sheetView workbookViewId="0">
      <selection activeCell="F8" sqref="F8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19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262</v>
      </c>
    </row>
    <row r="3" spans="1:7" x14ac:dyDescent="0.25">
      <c r="B3" s="59" t="s">
        <v>67</v>
      </c>
      <c r="C3" s="136">
        <v>1</v>
      </c>
      <c r="D3" s="136">
        <v>0.21</v>
      </c>
      <c r="E3" s="136">
        <v>0.21</v>
      </c>
      <c r="F3" s="136">
        <v>0.21</v>
      </c>
      <c r="G3" s="136">
        <v>0.21</v>
      </c>
    </row>
    <row r="4" spans="1:7" x14ac:dyDescent="0.25">
      <c r="A4" s="40" t="s">
        <v>263</v>
      </c>
      <c r="B4" s="59"/>
      <c r="C4" s="127"/>
      <c r="D4" s="127"/>
      <c r="E4" s="127"/>
      <c r="F4" s="127"/>
      <c r="G4" s="127"/>
    </row>
    <row r="5" spans="1:7" x14ac:dyDescent="0.25">
      <c r="B5" s="90" t="s">
        <v>183</v>
      </c>
      <c r="C5" s="136">
        <v>1</v>
      </c>
      <c r="D5" s="136">
        <v>0.14299999999999999</v>
      </c>
      <c r="E5" s="136">
        <v>0.14299999999999999</v>
      </c>
      <c r="F5" s="136">
        <v>0.14299999999999999</v>
      </c>
      <c r="G5" s="136">
        <v>0.14299999999999999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I49"/>
  <sheetViews>
    <sheetView topLeftCell="A28" zoomScale="111" workbookViewId="0">
      <selection activeCell="F8" sqref="F8"/>
    </sheetView>
  </sheetViews>
  <sheetFormatPr defaultColWidth="12.77734375" defaultRowHeight="13.2" x14ac:dyDescent="0.25"/>
  <cols>
    <col min="1" max="1" width="53" style="52" customWidth="1"/>
    <col min="2" max="2" width="30.5546875" style="52" customWidth="1"/>
    <col min="3" max="3" width="24.77734375" style="52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264</v>
      </c>
      <c r="C1" s="125" t="s">
        <v>265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266</v>
      </c>
      <c r="D2" s="136">
        <v>0</v>
      </c>
      <c r="E2" s="136">
        <v>0</v>
      </c>
      <c r="F2" s="136">
        <v>0.33500000000000002</v>
      </c>
      <c r="G2" s="136">
        <v>0.33500000000000002</v>
      </c>
      <c r="H2" s="136">
        <v>0.33500000000000002</v>
      </c>
    </row>
    <row r="3" spans="1:9" x14ac:dyDescent="0.25">
      <c r="C3" s="52" t="s">
        <v>267</v>
      </c>
      <c r="D3" s="136">
        <v>0</v>
      </c>
      <c r="E3" s="136">
        <v>0</v>
      </c>
      <c r="F3" s="136">
        <v>0.53134328358208949</v>
      </c>
      <c r="G3" s="136">
        <v>0.53134328358208949</v>
      </c>
      <c r="H3" s="136">
        <v>0.53134328358208949</v>
      </c>
    </row>
    <row r="4" spans="1:9" x14ac:dyDescent="0.25">
      <c r="C4" s="52" t="s">
        <v>268</v>
      </c>
      <c r="D4" s="136">
        <v>0</v>
      </c>
      <c r="E4" s="136">
        <v>0</v>
      </c>
      <c r="F4" s="136">
        <v>0.38507462686567184</v>
      </c>
      <c r="G4" s="136">
        <v>0.38507462686567184</v>
      </c>
      <c r="H4" s="136">
        <v>0.38507462686567184</v>
      </c>
    </row>
    <row r="5" spans="1:9" x14ac:dyDescent="0.25">
      <c r="A5" s="52" t="s">
        <v>58</v>
      </c>
      <c r="B5" s="52" t="s">
        <v>66</v>
      </c>
      <c r="C5" s="52" t="s">
        <v>266</v>
      </c>
      <c r="D5" s="136">
        <v>0</v>
      </c>
      <c r="E5" s="136">
        <v>0</v>
      </c>
      <c r="F5" s="136">
        <v>0.33500000000000002</v>
      </c>
      <c r="G5" s="136">
        <v>0.33500000000000002</v>
      </c>
      <c r="H5" s="136">
        <v>0.33500000000000002</v>
      </c>
    </row>
    <row r="6" spans="1:9" x14ac:dyDescent="0.25">
      <c r="C6" s="52" t="s">
        <v>268</v>
      </c>
      <c r="D6" s="136">
        <v>0</v>
      </c>
      <c r="E6" s="136">
        <v>0</v>
      </c>
      <c r="F6" s="136">
        <v>0.25970149253731345</v>
      </c>
      <c r="G6" s="136">
        <v>0.25970149253731345</v>
      </c>
      <c r="H6" s="136">
        <v>0</v>
      </c>
    </row>
    <row r="7" spans="1:9" x14ac:dyDescent="0.25">
      <c r="B7" s="52" t="s">
        <v>65</v>
      </c>
      <c r="C7" s="52" t="s">
        <v>266</v>
      </c>
      <c r="D7" s="136">
        <v>0</v>
      </c>
      <c r="E7" s="136">
        <v>0</v>
      </c>
      <c r="F7" s="136">
        <v>0.33500000000000002</v>
      </c>
      <c r="G7" s="136">
        <v>0.33500000000000002</v>
      </c>
      <c r="H7" s="136">
        <v>0.33500000000000002</v>
      </c>
    </row>
    <row r="8" spans="1:9" x14ac:dyDescent="0.25">
      <c r="C8" s="52" t="s">
        <v>268</v>
      </c>
      <c r="D8" s="136">
        <v>0</v>
      </c>
      <c r="E8" s="136">
        <v>0</v>
      </c>
      <c r="F8" s="136">
        <v>0.25970149253731345</v>
      </c>
      <c r="G8" s="136">
        <v>0.25970149253731345</v>
      </c>
      <c r="H8" s="136">
        <v>0</v>
      </c>
    </row>
    <row r="9" spans="1:9" x14ac:dyDescent="0.25">
      <c r="A9" s="52" t="s">
        <v>136</v>
      </c>
      <c r="B9" s="52" t="s">
        <v>66</v>
      </c>
      <c r="C9" s="52" t="s">
        <v>266</v>
      </c>
      <c r="D9" s="136">
        <v>0</v>
      </c>
      <c r="E9" s="136">
        <v>0</v>
      </c>
      <c r="F9" s="136">
        <v>0.33500000000000002</v>
      </c>
      <c r="G9" s="136">
        <v>0.33500000000000002</v>
      </c>
      <c r="H9" s="136">
        <v>0.33500000000000002</v>
      </c>
    </row>
    <row r="10" spans="1:9" x14ac:dyDescent="0.25">
      <c r="C10" s="52" t="s">
        <v>268</v>
      </c>
      <c r="D10" s="136">
        <v>0</v>
      </c>
      <c r="E10" s="136">
        <v>0</v>
      </c>
      <c r="F10" s="136">
        <v>0.25970149253731345</v>
      </c>
      <c r="G10" s="136">
        <v>0.25970149253731345</v>
      </c>
      <c r="H10" s="136">
        <v>0</v>
      </c>
    </row>
    <row r="11" spans="1:9" x14ac:dyDescent="0.25">
      <c r="B11" s="52" t="s">
        <v>65</v>
      </c>
      <c r="C11" s="52" t="s">
        <v>266</v>
      </c>
      <c r="D11" s="136">
        <v>0</v>
      </c>
      <c r="E11" s="136">
        <v>0</v>
      </c>
      <c r="F11" s="136">
        <v>0.33500000000000002</v>
      </c>
      <c r="G11" s="136">
        <v>0.33500000000000002</v>
      </c>
      <c r="H11" s="136">
        <v>0.33500000000000002</v>
      </c>
    </row>
    <row r="12" spans="1:9" x14ac:dyDescent="0.25">
      <c r="C12" s="52" t="s">
        <v>268</v>
      </c>
      <c r="D12" s="136">
        <v>0</v>
      </c>
      <c r="E12" s="136">
        <v>0</v>
      </c>
      <c r="F12" s="136">
        <v>0.25970149253731345</v>
      </c>
      <c r="G12" s="136">
        <v>0.25970149253731345</v>
      </c>
      <c r="H12" s="136">
        <v>0</v>
      </c>
    </row>
    <row r="13" spans="1:9" x14ac:dyDescent="0.25">
      <c r="A13" s="52" t="s">
        <v>61</v>
      </c>
      <c r="B13" s="52" t="s">
        <v>66</v>
      </c>
      <c r="C13" s="52" t="s">
        <v>266</v>
      </c>
      <c r="D13" s="136">
        <v>0</v>
      </c>
      <c r="E13" s="136">
        <v>0</v>
      </c>
      <c r="F13" s="136">
        <v>0.33500000000000002</v>
      </c>
      <c r="G13" s="136">
        <v>0.33500000000000002</v>
      </c>
      <c r="H13" s="136">
        <v>0.33500000000000002</v>
      </c>
    </row>
    <row r="14" spans="1:9" x14ac:dyDescent="0.25">
      <c r="C14" s="52" t="s">
        <v>268</v>
      </c>
      <c r="D14" s="136">
        <v>0</v>
      </c>
      <c r="E14" s="136">
        <v>0</v>
      </c>
      <c r="F14" s="136">
        <v>0.7</v>
      </c>
      <c r="G14" s="136">
        <v>0.62</v>
      </c>
      <c r="H14" s="136">
        <v>0.62</v>
      </c>
      <c r="I14" s="36"/>
    </row>
    <row r="15" spans="1:9" x14ac:dyDescent="0.25">
      <c r="B15" s="52" t="s">
        <v>65</v>
      </c>
      <c r="C15" s="52" t="s">
        <v>266</v>
      </c>
      <c r="D15" s="136">
        <v>0</v>
      </c>
      <c r="E15" s="136">
        <v>0</v>
      </c>
      <c r="F15" s="136">
        <v>0.33500000000000002</v>
      </c>
      <c r="G15" s="136">
        <v>0.33500000000000002</v>
      </c>
      <c r="H15" s="136">
        <v>0.33500000000000002</v>
      </c>
      <c r="I15" s="36"/>
    </row>
    <row r="16" spans="1:9" x14ac:dyDescent="0.25">
      <c r="C16" s="52" t="s">
        <v>268</v>
      </c>
      <c r="D16" s="136">
        <v>0</v>
      </c>
      <c r="E16" s="136">
        <v>0</v>
      </c>
      <c r="F16" s="136">
        <v>0.84</v>
      </c>
      <c r="G16" s="136">
        <v>0.62</v>
      </c>
      <c r="H16" s="136">
        <v>0.62</v>
      </c>
      <c r="I16" s="36"/>
    </row>
    <row r="17" spans="1:9" x14ac:dyDescent="0.25">
      <c r="A17" s="52" t="s">
        <v>62</v>
      </c>
      <c r="B17" s="52" t="s">
        <v>27</v>
      </c>
      <c r="C17" s="52" t="s">
        <v>266</v>
      </c>
      <c r="D17" s="136">
        <v>0.7</v>
      </c>
      <c r="E17" s="136">
        <v>0</v>
      </c>
      <c r="F17" s="136">
        <v>0</v>
      </c>
      <c r="G17" s="136">
        <v>0</v>
      </c>
      <c r="H17" s="136">
        <v>0</v>
      </c>
      <c r="I17" s="36"/>
    </row>
    <row r="18" spans="1:9" x14ac:dyDescent="0.25">
      <c r="C18" s="52" t="s">
        <v>267</v>
      </c>
      <c r="D18" s="136">
        <v>0.46</v>
      </c>
      <c r="E18" s="136">
        <v>0</v>
      </c>
      <c r="F18" s="136">
        <v>0</v>
      </c>
      <c r="G18" s="136">
        <v>0</v>
      </c>
      <c r="H18" s="136">
        <v>0</v>
      </c>
      <c r="I18" s="36"/>
    </row>
    <row r="19" spans="1:9" x14ac:dyDescent="0.25">
      <c r="A19" s="52" t="s">
        <v>63</v>
      </c>
      <c r="B19" s="52" t="s">
        <v>27</v>
      </c>
      <c r="C19" s="52" t="s">
        <v>266</v>
      </c>
      <c r="D19" s="136">
        <v>0.7</v>
      </c>
      <c r="E19" s="136">
        <v>0</v>
      </c>
      <c r="F19" s="136">
        <v>0</v>
      </c>
      <c r="G19" s="136">
        <v>0</v>
      </c>
      <c r="H19" s="136">
        <v>0</v>
      </c>
    </row>
    <row r="20" spans="1:9" x14ac:dyDescent="0.25">
      <c r="C20" s="52" t="s">
        <v>267</v>
      </c>
      <c r="D20" s="136">
        <v>0.46</v>
      </c>
      <c r="E20" s="136">
        <v>0</v>
      </c>
      <c r="F20" s="136">
        <v>0</v>
      </c>
      <c r="G20" s="136">
        <v>0</v>
      </c>
      <c r="H20" s="136">
        <v>0</v>
      </c>
    </row>
    <row r="21" spans="1:9" x14ac:dyDescent="0.25">
      <c r="A21" s="52" t="s">
        <v>64</v>
      </c>
      <c r="B21" s="52" t="s">
        <v>27</v>
      </c>
      <c r="C21" s="52" t="s">
        <v>266</v>
      </c>
      <c r="D21" s="136">
        <v>0.7</v>
      </c>
      <c r="E21" s="136">
        <v>0</v>
      </c>
      <c r="F21" s="136">
        <v>0</v>
      </c>
      <c r="G21" s="136">
        <v>0</v>
      </c>
      <c r="H21" s="136">
        <v>0</v>
      </c>
    </row>
    <row r="22" spans="1:9" x14ac:dyDescent="0.25">
      <c r="C22" s="52" t="s">
        <v>267</v>
      </c>
      <c r="D22" s="136">
        <v>0.46</v>
      </c>
      <c r="E22" s="136">
        <v>0</v>
      </c>
      <c r="F22" s="136">
        <v>0</v>
      </c>
      <c r="G22" s="136">
        <v>0</v>
      </c>
      <c r="H22" s="136">
        <v>0</v>
      </c>
    </row>
    <row r="23" spans="1:9" x14ac:dyDescent="0.25">
      <c r="A23" s="52" t="s">
        <v>79</v>
      </c>
      <c r="B23" s="52" t="s">
        <v>71</v>
      </c>
      <c r="C23" s="52" t="s">
        <v>266</v>
      </c>
      <c r="D23" s="136">
        <v>1</v>
      </c>
      <c r="E23" s="136">
        <v>1</v>
      </c>
      <c r="F23" s="136">
        <v>1</v>
      </c>
      <c r="G23" s="136">
        <v>1</v>
      </c>
      <c r="H23" s="136">
        <v>1</v>
      </c>
    </row>
    <row r="24" spans="1:9" x14ac:dyDescent="0.25">
      <c r="C24" s="52" t="s">
        <v>267</v>
      </c>
      <c r="D24" s="136">
        <v>0</v>
      </c>
      <c r="E24" s="136">
        <v>0</v>
      </c>
      <c r="F24" s="136">
        <v>0</v>
      </c>
      <c r="G24" s="136">
        <v>0</v>
      </c>
      <c r="H24" s="136">
        <v>0</v>
      </c>
    </row>
    <row r="25" spans="1:9" x14ac:dyDescent="0.25">
      <c r="C25" s="52" t="s">
        <v>268</v>
      </c>
      <c r="D25" s="136">
        <v>0</v>
      </c>
      <c r="E25" s="136">
        <v>0</v>
      </c>
      <c r="F25" s="136">
        <v>0</v>
      </c>
      <c r="G25" s="136">
        <v>0</v>
      </c>
      <c r="H25" s="136">
        <v>0</v>
      </c>
    </row>
    <row r="26" spans="1:9" x14ac:dyDescent="0.25">
      <c r="A26" s="52" t="s">
        <v>80</v>
      </c>
      <c r="B26" s="52" t="s">
        <v>71</v>
      </c>
      <c r="C26" s="52" t="s">
        <v>266</v>
      </c>
      <c r="D26" s="136">
        <v>1</v>
      </c>
      <c r="E26" s="136">
        <v>1</v>
      </c>
      <c r="F26" s="136">
        <v>1</v>
      </c>
      <c r="G26" s="136">
        <v>1</v>
      </c>
      <c r="H26" s="136">
        <v>1</v>
      </c>
    </row>
    <row r="27" spans="1:9" x14ac:dyDescent="0.25">
      <c r="C27" s="52" t="s">
        <v>267</v>
      </c>
      <c r="D27" s="136">
        <v>0</v>
      </c>
      <c r="E27" s="136">
        <v>0</v>
      </c>
      <c r="F27" s="136">
        <v>0</v>
      </c>
      <c r="G27" s="136">
        <v>0</v>
      </c>
      <c r="H27" s="136">
        <v>0</v>
      </c>
    </row>
    <row r="28" spans="1:9" x14ac:dyDescent="0.25">
      <c r="C28" s="52" t="s">
        <v>268</v>
      </c>
      <c r="D28" s="136">
        <v>0</v>
      </c>
      <c r="E28" s="136">
        <v>0</v>
      </c>
      <c r="F28" s="136">
        <v>0</v>
      </c>
      <c r="G28" s="136">
        <v>0</v>
      </c>
      <c r="H28" s="136">
        <v>0</v>
      </c>
    </row>
    <row r="29" spans="1:9" x14ac:dyDescent="0.25">
      <c r="A29" s="52" t="s">
        <v>81</v>
      </c>
      <c r="B29" s="52" t="s">
        <v>71</v>
      </c>
      <c r="C29" s="52" t="s">
        <v>266</v>
      </c>
      <c r="D29" s="136">
        <v>1</v>
      </c>
      <c r="E29" s="136">
        <v>1</v>
      </c>
      <c r="F29" s="136">
        <v>1</v>
      </c>
      <c r="G29" s="136">
        <v>1</v>
      </c>
      <c r="H29" s="136">
        <v>1</v>
      </c>
    </row>
    <row r="30" spans="1:9" x14ac:dyDescent="0.25">
      <c r="C30" s="52" t="s">
        <v>267</v>
      </c>
      <c r="D30" s="136">
        <v>0</v>
      </c>
      <c r="E30" s="136">
        <v>0</v>
      </c>
      <c r="F30" s="136">
        <v>0</v>
      </c>
      <c r="G30" s="136">
        <v>0</v>
      </c>
      <c r="H30" s="136">
        <v>0</v>
      </c>
    </row>
    <row r="31" spans="1:9" x14ac:dyDescent="0.25">
      <c r="C31" s="52" t="s">
        <v>268</v>
      </c>
      <c r="D31" s="136">
        <v>0</v>
      </c>
      <c r="E31" s="136">
        <v>0</v>
      </c>
      <c r="F31" s="136">
        <v>0</v>
      </c>
      <c r="G31" s="136">
        <v>0</v>
      </c>
      <c r="H31" s="136">
        <v>0</v>
      </c>
    </row>
    <row r="32" spans="1:9" x14ac:dyDescent="0.25">
      <c r="A32" s="52" t="s">
        <v>82</v>
      </c>
      <c r="B32" s="52" t="s">
        <v>71</v>
      </c>
      <c r="C32" s="52" t="s">
        <v>266</v>
      </c>
      <c r="D32" s="136">
        <v>1</v>
      </c>
      <c r="E32" s="136">
        <v>1</v>
      </c>
      <c r="F32" s="136">
        <v>1</v>
      </c>
      <c r="G32" s="136">
        <v>1</v>
      </c>
      <c r="H32" s="136">
        <v>1</v>
      </c>
    </row>
    <row r="33" spans="1:8" x14ac:dyDescent="0.25">
      <c r="C33" s="52" t="s">
        <v>267</v>
      </c>
      <c r="D33" s="136">
        <v>0</v>
      </c>
      <c r="E33" s="136">
        <v>0</v>
      </c>
      <c r="F33" s="136">
        <v>0</v>
      </c>
      <c r="G33" s="136">
        <v>0</v>
      </c>
      <c r="H33" s="136">
        <v>0</v>
      </c>
    </row>
    <row r="34" spans="1:8" x14ac:dyDescent="0.25">
      <c r="C34" s="52" t="s">
        <v>268</v>
      </c>
      <c r="D34" s="136">
        <v>0</v>
      </c>
      <c r="E34" s="136">
        <v>0</v>
      </c>
      <c r="F34" s="136">
        <v>0</v>
      </c>
      <c r="G34" s="136">
        <v>0</v>
      </c>
      <c r="H34" s="136">
        <v>0</v>
      </c>
    </row>
    <row r="35" spans="1:8" x14ac:dyDescent="0.25">
      <c r="A35" s="52" t="s">
        <v>83</v>
      </c>
      <c r="B35" s="52" t="s">
        <v>71</v>
      </c>
      <c r="C35" s="52" t="s">
        <v>266</v>
      </c>
      <c r="D35" s="136">
        <v>1</v>
      </c>
      <c r="E35" s="136">
        <v>1</v>
      </c>
      <c r="F35" s="136">
        <v>1</v>
      </c>
      <c r="G35" s="136">
        <v>1</v>
      </c>
      <c r="H35" s="136">
        <v>1</v>
      </c>
    </row>
    <row r="36" spans="1:8" x14ac:dyDescent="0.25">
      <c r="C36" s="52" t="s">
        <v>267</v>
      </c>
      <c r="D36" s="136">
        <v>0</v>
      </c>
      <c r="E36" s="136">
        <v>0</v>
      </c>
      <c r="F36" s="136">
        <v>0</v>
      </c>
      <c r="G36" s="136">
        <v>0</v>
      </c>
      <c r="H36" s="136">
        <v>0</v>
      </c>
    </row>
    <row r="37" spans="1:8" x14ac:dyDescent="0.25">
      <c r="C37" s="52" t="s">
        <v>268</v>
      </c>
      <c r="D37" s="136">
        <v>0</v>
      </c>
      <c r="E37" s="136">
        <v>0</v>
      </c>
      <c r="F37" s="136">
        <v>0</v>
      </c>
      <c r="G37" s="136">
        <v>0</v>
      </c>
      <c r="H37" s="136">
        <v>0</v>
      </c>
    </row>
    <row r="38" spans="1:8" x14ac:dyDescent="0.25">
      <c r="A38" s="52" t="s">
        <v>60</v>
      </c>
      <c r="B38" s="52" t="s">
        <v>71</v>
      </c>
      <c r="C38" s="52" t="s">
        <v>266</v>
      </c>
      <c r="D38" s="136">
        <v>0.3</v>
      </c>
      <c r="E38" s="136">
        <v>0.3</v>
      </c>
      <c r="F38" s="136">
        <v>0.3</v>
      </c>
      <c r="G38" s="136">
        <v>0.3</v>
      </c>
      <c r="H38" s="136">
        <v>0.3</v>
      </c>
    </row>
    <row r="39" spans="1:8" x14ac:dyDescent="0.25">
      <c r="C39" s="52" t="s">
        <v>267</v>
      </c>
      <c r="D39" s="136">
        <v>0.5</v>
      </c>
      <c r="E39" s="136">
        <v>0.5</v>
      </c>
      <c r="F39" s="136">
        <v>0.5</v>
      </c>
      <c r="G39" s="136">
        <v>0.5</v>
      </c>
      <c r="H39" s="136">
        <v>0.5</v>
      </c>
    </row>
    <row r="40" spans="1:8" x14ac:dyDescent="0.25">
      <c r="C40" s="52" t="s">
        <v>268</v>
      </c>
      <c r="D40" s="136">
        <v>0.65</v>
      </c>
      <c r="E40" s="136">
        <v>0.65</v>
      </c>
      <c r="F40" s="136">
        <v>0.65</v>
      </c>
      <c r="G40" s="136">
        <v>0.65</v>
      </c>
      <c r="H40" s="136">
        <v>0.65</v>
      </c>
    </row>
    <row r="41" spans="1:8" x14ac:dyDescent="0.25">
      <c r="B41" s="52" t="s">
        <v>16</v>
      </c>
      <c r="C41" s="52" t="s">
        <v>266</v>
      </c>
      <c r="D41" s="136">
        <v>0.3</v>
      </c>
      <c r="E41" s="136">
        <v>0.3</v>
      </c>
      <c r="F41" s="136">
        <v>0.3</v>
      </c>
      <c r="G41" s="136">
        <v>0.3</v>
      </c>
      <c r="H41" s="136">
        <v>0.3</v>
      </c>
    </row>
    <row r="42" spans="1:8" x14ac:dyDescent="0.25">
      <c r="C42" s="52" t="s">
        <v>267</v>
      </c>
      <c r="D42" s="136">
        <v>0.49</v>
      </c>
      <c r="E42" s="136">
        <v>0.49</v>
      </c>
      <c r="F42" s="136">
        <v>0.49</v>
      </c>
      <c r="G42" s="136">
        <v>0.49</v>
      </c>
      <c r="H42" s="136">
        <v>0.49</v>
      </c>
    </row>
    <row r="43" spans="1:8" x14ac:dyDescent="0.25">
      <c r="C43" s="52" t="s">
        <v>268</v>
      </c>
      <c r="D43" s="136">
        <v>0.52</v>
      </c>
      <c r="E43" s="136">
        <v>0.52</v>
      </c>
      <c r="F43" s="136">
        <v>0.52</v>
      </c>
      <c r="G43" s="136">
        <v>0.52</v>
      </c>
      <c r="H43" s="136">
        <v>0.52</v>
      </c>
    </row>
    <row r="44" spans="1:8" x14ac:dyDescent="0.25">
      <c r="A44" s="52" t="s">
        <v>84</v>
      </c>
      <c r="B44" s="52" t="s">
        <v>71</v>
      </c>
      <c r="C44" s="52" t="s">
        <v>266</v>
      </c>
      <c r="D44" s="136">
        <v>0.88</v>
      </c>
      <c r="E44" s="136">
        <v>0.88</v>
      </c>
      <c r="F44" s="136">
        <v>0.88</v>
      </c>
      <c r="G44" s="136">
        <v>0.88</v>
      </c>
      <c r="H44" s="136">
        <v>0.88</v>
      </c>
    </row>
    <row r="45" spans="1:8" x14ac:dyDescent="0.25">
      <c r="C45" s="52" t="s">
        <v>267</v>
      </c>
      <c r="D45" s="136">
        <v>0.93</v>
      </c>
      <c r="E45" s="136">
        <v>0.93</v>
      </c>
      <c r="F45" s="136">
        <v>0.93</v>
      </c>
      <c r="G45" s="136">
        <v>0.93</v>
      </c>
      <c r="H45" s="136">
        <v>0.93</v>
      </c>
    </row>
    <row r="46" spans="1:8" x14ac:dyDescent="0.25">
      <c r="A46" s="52" t="s">
        <v>85</v>
      </c>
      <c r="B46" s="52" t="s">
        <v>71</v>
      </c>
      <c r="C46" s="52" t="s">
        <v>266</v>
      </c>
      <c r="D46" s="136">
        <v>1</v>
      </c>
      <c r="E46" s="136">
        <v>1</v>
      </c>
      <c r="F46" s="136">
        <v>1</v>
      </c>
      <c r="G46" s="136">
        <v>1</v>
      </c>
      <c r="H46" s="136">
        <v>1</v>
      </c>
    </row>
    <row r="47" spans="1:8" x14ac:dyDescent="0.25">
      <c r="C47" s="52" t="s">
        <v>267</v>
      </c>
      <c r="D47" s="136">
        <v>0.86</v>
      </c>
      <c r="E47" s="136">
        <v>0.86</v>
      </c>
      <c r="F47" s="136">
        <v>0.86</v>
      </c>
      <c r="G47" s="136">
        <v>0.86</v>
      </c>
      <c r="H47" s="136">
        <v>0.86</v>
      </c>
    </row>
    <row r="48" spans="1:8" x14ac:dyDescent="0.25">
      <c r="A48" s="52" t="s">
        <v>195</v>
      </c>
      <c r="B48" s="52" t="s">
        <v>13</v>
      </c>
      <c r="C48" s="52" t="s">
        <v>266</v>
      </c>
      <c r="D48" s="136">
        <v>0.57999999999999996</v>
      </c>
      <c r="E48" s="136">
        <v>0.57999999999999996</v>
      </c>
      <c r="F48" s="136">
        <v>0</v>
      </c>
      <c r="G48" s="136">
        <v>0</v>
      </c>
      <c r="H48" s="136">
        <v>0</v>
      </c>
    </row>
    <row r="49" spans="3:8" x14ac:dyDescent="0.25">
      <c r="C49" s="52" t="s">
        <v>267</v>
      </c>
      <c r="D49" s="136">
        <v>0.51</v>
      </c>
      <c r="E49" s="136">
        <v>0.51</v>
      </c>
      <c r="F49" s="136">
        <v>0</v>
      </c>
      <c r="G49" s="136">
        <v>0</v>
      </c>
      <c r="H49" s="136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H7"/>
  <sheetViews>
    <sheetView workbookViewId="0">
      <selection activeCell="F8" sqref="F8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19" t="s">
        <v>69</v>
      </c>
      <c r="B1" s="119" t="s">
        <v>264</v>
      </c>
      <c r="C1" s="119"/>
      <c r="D1" s="40" t="s">
        <v>53</v>
      </c>
      <c r="E1" s="40" t="s">
        <v>54</v>
      </c>
      <c r="F1" s="40" t="s">
        <v>55</v>
      </c>
      <c r="G1" s="40" t="s">
        <v>56</v>
      </c>
      <c r="H1" s="94"/>
    </row>
    <row r="2" spans="1:8" x14ac:dyDescent="0.25">
      <c r="A2" s="43" t="s">
        <v>86</v>
      </c>
      <c r="B2" s="35" t="s">
        <v>41</v>
      </c>
      <c r="C2" s="43" t="s">
        <v>266</v>
      </c>
      <c r="D2" s="136">
        <v>1</v>
      </c>
      <c r="E2" s="136">
        <v>1</v>
      </c>
      <c r="F2" s="136">
        <v>1</v>
      </c>
      <c r="G2" s="136">
        <v>1</v>
      </c>
      <c r="H2" s="90"/>
    </row>
    <row r="3" spans="1:8" x14ac:dyDescent="0.25">
      <c r="C3" s="35" t="s">
        <v>267</v>
      </c>
      <c r="D3" s="136">
        <v>0.2</v>
      </c>
      <c r="E3" s="136">
        <v>0.2</v>
      </c>
      <c r="F3" s="136">
        <v>0.2</v>
      </c>
      <c r="G3" s="136">
        <v>0.2</v>
      </c>
      <c r="H3" s="128"/>
    </row>
    <row r="4" spans="1:8" x14ac:dyDescent="0.25">
      <c r="A4" s="43" t="s">
        <v>87</v>
      </c>
      <c r="B4" s="35" t="s">
        <v>41</v>
      </c>
      <c r="C4" s="43" t="s">
        <v>266</v>
      </c>
      <c r="D4" s="136">
        <v>1</v>
      </c>
      <c r="E4" s="136">
        <v>1</v>
      </c>
      <c r="F4" s="136">
        <v>1</v>
      </c>
      <c r="G4" s="136">
        <v>1</v>
      </c>
      <c r="H4" s="128"/>
    </row>
    <row r="5" spans="1:8" x14ac:dyDescent="0.25">
      <c r="A5" s="36"/>
      <c r="C5" s="35" t="s">
        <v>267</v>
      </c>
      <c r="D5" s="136">
        <v>0.59</v>
      </c>
      <c r="E5" s="136">
        <v>0.59</v>
      </c>
      <c r="F5" s="136">
        <v>0.59</v>
      </c>
      <c r="G5" s="136">
        <v>0.59</v>
      </c>
      <c r="H5" s="90"/>
    </row>
    <row r="6" spans="1:8" x14ac:dyDescent="0.25">
      <c r="A6" s="43" t="s">
        <v>88</v>
      </c>
      <c r="B6" s="35" t="s">
        <v>41</v>
      </c>
      <c r="C6" s="43" t="s">
        <v>266</v>
      </c>
      <c r="D6" s="136">
        <v>1</v>
      </c>
      <c r="E6" s="136">
        <v>1</v>
      </c>
      <c r="F6" s="136">
        <v>1</v>
      </c>
      <c r="G6" s="136">
        <v>1</v>
      </c>
      <c r="H6" s="90"/>
    </row>
    <row r="7" spans="1:8" x14ac:dyDescent="0.25">
      <c r="A7" s="36"/>
      <c r="C7" s="35" t="s">
        <v>267</v>
      </c>
      <c r="D7" s="136">
        <v>0.6</v>
      </c>
      <c r="E7" s="136">
        <v>0.6</v>
      </c>
      <c r="F7" s="136">
        <v>0.6</v>
      </c>
      <c r="G7" s="136">
        <v>0.6</v>
      </c>
      <c r="H7" s="128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topLeftCell="A26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27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5">
        <v>8.2598497000000007E-2</v>
      </c>
    </row>
    <row r="4" spans="1:8" ht="15.75" customHeight="1" x14ac:dyDescent="0.25">
      <c r="B4" s="24" t="s">
        <v>7</v>
      </c>
      <c r="C4" s="75">
        <v>0.16738690844468779</v>
      </c>
    </row>
    <row r="5" spans="1:8" ht="15.75" customHeight="1" x14ac:dyDescent="0.25">
      <c r="B5" s="24" t="s">
        <v>8</v>
      </c>
      <c r="C5" s="75">
        <v>0.16011218459543677</v>
      </c>
    </row>
    <row r="6" spans="1:8" ht="15.75" customHeight="1" x14ac:dyDescent="0.25">
      <c r="B6" s="24" t="s">
        <v>10</v>
      </c>
      <c r="C6" s="75">
        <v>0.10848080264086857</v>
      </c>
    </row>
    <row r="7" spans="1:8" ht="15.75" customHeight="1" x14ac:dyDescent="0.25">
      <c r="B7" s="24" t="s">
        <v>13</v>
      </c>
      <c r="C7" s="75">
        <v>0.17389556165071252</v>
      </c>
    </row>
    <row r="8" spans="1:8" ht="15.75" customHeight="1" x14ac:dyDescent="0.25">
      <c r="B8" s="24" t="s">
        <v>14</v>
      </c>
      <c r="C8" s="75">
        <v>1.0093974521015842E-2</v>
      </c>
    </row>
    <row r="9" spans="1:8" ht="15.75" customHeight="1" x14ac:dyDescent="0.25">
      <c r="B9" s="24" t="s">
        <v>27</v>
      </c>
      <c r="C9" s="75">
        <v>5.7938968096603233E-2</v>
      </c>
    </row>
    <row r="10" spans="1:8" ht="15.75" customHeight="1" x14ac:dyDescent="0.25">
      <c r="B10" s="24" t="s">
        <v>15</v>
      </c>
      <c r="C10" s="75">
        <v>0.23949310305067528</v>
      </c>
    </row>
    <row r="11" spans="1:8" ht="15.75" customHeight="1" x14ac:dyDescent="0.25">
      <c r="B11" s="32" t="s">
        <v>129</v>
      </c>
      <c r="C11" s="70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5">
        <v>0.25156057573527002</v>
      </c>
      <c r="D14" s="75">
        <v>0.25156057573527002</v>
      </c>
      <c r="E14" s="75">
        <v>0.19771485337230099</v>
      </c>
      <c r="F14" s="75">
        <v>0.19771485337230099</v>
      </c>
    </row>
    <row r="15" spans="1:8" ht="15.75" customHeight="1" x14ac:dyDescent="0.25">
      <c r="B15" s="24" t="s">
        <v>16</v>
      </c>
      <c r="C15" s="75">
        <v>0.19798916850824</v>
      </c>
      <c r="D15" s="75">
        <v>0.19798916850824</v>
      </c>
      <c r="E15" s="75">
        <v>0.137243621921739</v>
      </c>
      <c r="F15" s="75">
        <v>0.137243621921739</v>
      </c>
    </row>
    <row r="16" spans="1:8" ht="15.75" customHeight="1" x14ac:dyDescent="0.25">
      <c r="B16" s="24" t="s">
        <v>17</v>
      </c>
      <c r="C16" s="75">
        <v>8.8970303506858597E-2</v>
      </c>
      <c r="D16" s="75">
        <v>8.8970303506858597E-2</v>
      </c>
      <c r="E16" s="75">
        <v>7.6198686123447101E-2</v>
      </c>
      <c r="F16" s="75">
        <v>7.6198686123447101E-2</v>
      </c>
    </row>
    <row r="17" spans="1:8" ht="15.75" customHeight="1" x14ac:dyDescent="0.25">
      <c r="B17" s="24" t="s">
        <v>18</v>
      </c>
      <c r="C17" s="75">
        <v>2.1455042476271901E-2</v>
      </c>
      <c r="D17" s="75">
        <v>2.1455042476271901E-2</v>
      </c>
      <c r="E17" s="75">
        <v>2.9692633773587097E-2</v>
      </c>
      <c r="F17" s="75">
        <v>2.9692633773587097E-2</v>
      </c>
    </row>
    <row r="18" spans="1:8" ht="15.75" customHeight="1" x14ac:dyDescent="0.25">
      <c r="B18" s="24" t="s">
        <v>19</v>
      </c>
      <c r="C18" s="75">
        <v>0.18762642636451801</v>
      </c>
      <c r="D18" s="75">
        <v>0.18762642636451801</v>
      </c>
      <c r="E18" s="75">
        <v>0.30642131022124203</v>
      </c>
      <c r="F18" s="75">
        <v>0.30642131022124203</v>
      </c>
    </row>
    <row r="19" spans="1:8" ht="15.75" customHeight="1" x14ac:dyDescent="0.25">
      <c r="B19" s="24" t="s">
        <v>20</v>
      </c>
      <c r="C19" s="75">
        <v>3.5857902772887702E-2</v>
      </c>
      <c r="D19" s="75">
        <v>3.5857902772887702E-2</v>
      </c>
      <c r="E19" s="75">
        <v>2.1157311464213801E-2</v>
      </c>
      <c r="F19" s="75">
        <v>2.1157311464213801E-2</v>
      </c>
    </row>
    <row r="20" spans="1:8" ht="15.75" customHeight="1" x14ac:dyDescent="0.25">
      <c r="B20" s="24" t="s">
        <v>21</v>
      </c>
      <c r="C20" s="75">
        <v>2.4636044833858499E-3</v>
      </c>
      <c r="D20" s="75">
        <v>2.4636044833858499E-3</v>
      </c>
      <c r="E20" s="75">
        <v>1.3983019811672601E-3</v>
      </c>
      <c r="F20" s="75">
        <v>1.3983019811672601E-3</v>
      </c>
    </row>
    <row r="21" spans="1:8" ht="15.75" customHeight="1" x14ac:dyDescent="0.25">
      <c r="B21" s="24" t="s">
        <v>22</v>
      </c>
      <c r="C21" s="75">
        <v>2.5050986541659895E-2</v>
      </c>
      <c r="D21" s="75">
        <v>2.5050986541659895E-2</v>
      </c>
      <c r="E21" s="75">
        <v>5.941836191166059E-2</v>
      </c>
      <c r="F21" s="75">
        <v>5.941836191166059E-2</v>
      </c>
    </row>
    <row r="22" spans="1:8" ht="15.75" customHeight="1" x14ac:dyDescent="0.25">
      <c r="B22" s="24" t="s">
        <v>23</v>
      </c>
      <c r="C22" s="75">
        <v>0.18902598961090789</v>
      </c>
      <c r="D22" s="75">
        <v>0.18902598961090789</v>
      </c>
      <c r="E22" s="75">
        <v>0.17075491923064201</v>
      </c>
      <c r="F22" s="75">
        <v>0.17075491923064201</v>
      </c>
    </row>
    <row r="23" spans="1:8" ht="15.75" customHeight="1" x14ac:dyDescent="0.25">
      <c r="B23" s="32" t="s">
        <v>129</v>
      </c>
      <c r="C23" s="70">
        <f>SUM(C14:C22)</f>
        <v>1</v>
      </c>
      <c r="D23" s="70">
        <f t="shared" ref="D23:F23" si="0">SUM(D14:D22)</f>
        <v>1</v>
      </c>
      <c r="E23" s="70">
        <f t="shared" si="0"/>
        <v>1</v>
      </c>
      <c r="F23" s="70">
        <f t="shared" si="0"/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5">
        <v>8.77E-2</v>
      </c>
    </row>
    <row r="27" spans="1:8" ht="15.75" customHeight="1" x14ac:dyDescent="0.25">
      <c r="B27" s="24" t="s">
        <v>39</v>
      </c>
      <c r="C27" s="75">
        <v>8.8000000000000005E-3</v>
      </c>
    </row>
    <row r="28" spans="1:8" ht="15.75" customHeight="1" x14ac:dyDescent="0.25">
      <c r="B28" s="24" t="s">
        <v>40</v>
      </c>
      <c r="C28" s="75">
        <v>0.1552</v>
      </c>
    </row>
    <row r="29" spans="1:8" ht="15.75" customHeight="1" x14ac:dyDescent="0.25">
      <c r="B29" s="24" t="s">
        <v>41</v>
      </c>
      <c r="C29" s="75">
        <v>0.16949999999999998</v>
      </c>
    </row>
    <row r="30" spans="1:8" ht="15.75" customHeight="1" x14ac:dyDescent="0.25">
      <c r="B30" s="24" t="s">
        <v>42</v>
      </c>
      <c r="C30" s="75">
        <v>0.10619999999999999</v>
      </c>
    </row>
    <row r="31" spans="1:8" ht="15.75" customHeight="1" x14ac:dyDescent="0.25">
      <c r="B31" s="24" t="s">
        <v>43</v>
      </c>
      <c r="C31" s="75">
        <v>0.11070000000000001</v>
      </c>
    </row>
    <row r="32" spans="1:8" ht="15.75" customHeight="1" x14ac:dyDescent="0.25">
      <c r="B32" s="24" t="s">
        <v>44</v>
      </c>
      <c r="C32" s="75">
        <v>1.89E-2</v>
      </c>
    </row>
    <row r="33" spans="2:3" ht="15.75" customHeight="1" x14ac:dyDescent="0.25">
      <c r="B33" s="24" t="s">
        <v>45</v>
      </c>
      <c r="C33" s="75">
        <v>8.539999999999999E-2</v>
      </c>
    </row>
    <row r="34" spans="2:3" ht="15.75" customHeight="1" x14ac:dyDescent="0.25">
      <c r="B34" s="24" t="s">
        <v>46</v>
      </c>
      <c r="C34" s="75">
        <v>0.25759999999999988</v>
      </c>
    </row>
    <row r="35" spans="2:3" ht="15.75" customHeight="1" x14ac:dyDescent="0.25">
      <c r="B35" s="32" t="s">
        <v>129</v>
      </c>
      <c r="C35" s="70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C14" sqref="C14:O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6">
        <v>0.60956257662306779</v>
      </c>
      <c r="D2" s="76">
        <v>0.60956257662306779</v>
      </c>
      <c r="E2" s="76">
        <v>0.42352536945695368</v>
      </c>
      <c r="F2" s="76">
        <v>0.26922681205273069</v>
      </c>
      <c r="G2" s="76">
        <v>0.28165953145790557</v>
      </c>
    </row>
    <row r="3" spans="1:15" ht="15.75" customHeight="1" x14ac:dyDescent="0.25">
      <c r="A3" s="5"/>
      <c r="B3" s="11" t="s">
        <v>118</v>
      </c>
      <c r="C3" s="76">
        <v>0.20029860337693225</v>
      </c>
      <c r="D3" s="76">
        <v>0.20029860337693225</v>
      </c>
      <c r="E3" s="76">
        <v>0.23442042054304635</v>
      </c>
      <c r="F3" s="76">
        <v>0.23415148794726931</v>
      </c>
      <c r="G3" s="76">
        <v>0.28515117854209449</v>
      </c>
    </row>
    <row r="4" spans="1:15" ht="15.75" customHeight="1" x14ac:dyDescent="0.25">
      <c r="A4" s="5"/>
      <c r="B4" s="11" t="s">
        <v>116</v>
      </c>
      <c r="C4" s="77">
        <v>0.10219961574999999</v>
      </c>
      <c r="D4" s="77">
        <v>0.10219961574999999</v>
      </c>
      <c r="E4" s="77">
        <v>0.22713481138339922</v>
      </c>
      <c r="F4" s="77">
        <v>0.23919135393494226</v>
      </c>
      <c r="G4" s="77">
        <v>0.21659464499999997</v>
      </c>
    </row>
    <row r="5" spans="1:15" ht="15.75" customHeight="1" x14ac:dyDescent="0.25">
      <c r="A5" s="5"/>
      <c r="B5" s="11" t="s">
        <v>119</v>
      </c>
      <c r="C5" s="77">
        <v>8.793920425E-2</v>
      </c>
      <c r="D5" s="77">
        <v>8.793920425E-2</v>
      </c>
      <c r="E5" s="77">
        <v>0.1149193986166008</v>
      </c>
      <c r="F5" s="77">
        <v>0.25743034606505777</v>
      </c>
      <c r="G5" s="77">
        <v>0.21659464499999997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6">
        <v>0.72370675514179117</v>
      </c>
      <c r="D8" s="76">
        <v>0.72370675514179117</v>
      </c>
      <c r="E8" s="76">
        <v>0.48475759679542196</v>
      </c>
      <c r="F8" s="76">
        <v>0.49753603374158811</v>
      </c>
      <c r="G8" s="76">
        <v>0.65722601073919751</v>
      </c>
    </row>
    <row r="9" spans="1:15" ht="15.75" customHeight="1" x14ac:dyDescent="0.25">
      <c r="B9" s="7" t="s">
        <v>121</v>
      </c>
      <c r="C9" s="76">
        <v>0.21025830285820898</v>
      </c>
      <c r="D9" s="76">
        <v>0.21025830285820898</v>
      </c>
      <c r="E9" s="76">
        <v>0.33768308320457785</v>
      </c>
      <c r="F9" s="76">
        <v>0.34838907625841176</v>
      </c>
      <c r="G9" s="76">
        <v>0.28291185892746917</v>
      </c>
    </row>
    <row r="10" spans="1:15" ht="15.75" customHeight="1" x14ac:dyDescent="0.25">
      <c r="B10" s="7" t="s">
        <v>122</v>
      </c>
      <c r="C10" s="77">
        <v>4.0461200000000003E-2</v>
      </c>
      <c r="D10" s="77">
        <v>4.0461200000000003E-2</v>
      </c>
      <c r="E10" s="77">
        <v>0.12332142000000001</v>
      </c>
      <c r="F10" s="77">
        <v>0.127452976</v>
      </c>
      <c r="G10" s="77">
        <v>5.2744222266666661E-2</v>
      </c>
    </row>
    <row r="11" spans="1:15" ht="15.75" customHeight="1" x14ac:dyDescent="0.25">
      <c r="B11" s="7" t="s">
        <v>123</v>
      </c>
      <c r="C11" s="77">
        <v>2.5573742E-2</v>
      </c>
      <c r="D11" s="77">
        <v>2.5573742E-2</v>
      </c>
      <c r="E11" s="77">
        <v>5.4237900000000006E-2</v>
      </c>
      <c r="F11" s="77">
        <v>2.6621914000000003E-2</v>
      </c>
      <c r="G11" s="77">
        <v>7.1179080666666662E-3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8">
        <v>0.76261907750000002</v>
      </c>
      <c r="D14" s="78">
        <v>0.76158313046600001</v>
      </c>
      <c r="E14" s="78">
        <v>0.76158313046600001</v>
      </c>
      <c r="F14" s="78">
        <v>0.73774203991099996</v>
      </c>
      <c r="G14" s="78">
        <v>0.73774203991099996</v>
      </c>
      <c r="H14" s="79">
        <v>0.59599999999999997</v>
      </c>
      <c r="I14" s="79">
        <v>0.58855895196506558</v>
      </c>
      <c r="J14" s="79">
        <v>0.57448471615720531</v>
      </c>
      <c r="K14" s="79">
        <v>0.58216157205240182</v>
      </c>
      <c r="L14" s="79">
        <v>0.45357261836099999</v>
      </c>
      <c r="M14" s="79">
        <v>0.33882750686800001</v>
      </c>
      <c r="N14" s="79">
        <v>0.33359003717050001</v>
      </c>
      <c r="O14" s="79">
        <v>0.3866115698</v>
      </c>
    </row>
    <row r="15" spans="1:15" ht="15.75" customHeight="1" x14ac:dyDescent="0.25">
      <c r="B15" s="16" t="s">
        <v>68</v>
      </c>
      <c r="C15" s="76">
        <f t="shared" ref="C15:O15" si="0">iron_deficiency_anaemia*C14</f>
        <v>0.32436227094055387</v>
      </c>
      <c r="D15" s="76">
        <f t="shared" si="0"/>
        <v>0.32392165498635572</v>
      </c>
      <c r="E15" s="76">
        <f t="shared" si="0"/>
        <v>0.32392165498635572</v>
      </c>
      <c r="F15" s="76">
        <f t="shared" si="0"/>
        <v>0.31378140213630923</v>
      </c>
      <c r="G15" s="76">
        <f t="shared" si="0"/>
        <v>0.31378140213630923</v>
      </c>
      <c r="H15" s="76">
        <f t="shared" si="0"/>
        <v>0.25349472519663013</v>
      </c>
      <c r="I15" s="76">
        <f t="shared" si="0"/>
        <v>0.25032984864161234</v>
      </c>
      <c r="J15" s="76">
        <f t="shared" si="0"/>
        <v>0.24434370008713899</v>
      </c>
      <c r="K15" s="76">
        <f t="shared" si="0"/>
        <v>0.24760887202594262</v>
      </c>
      <c r="L15" s="76">
        <f t="shared" si="0"/>
        <v>0.19291655410761357</v>
      </c>
      <c r="M15" s="76">
        <f t="shared" si="0"/>
        <v>0.14411239218550836</v>
      </c>
      <c r="N15" s="76">
        <f t="shared" si="0"/>
        <v>0.14188475637729789</v>
      </c>
      <c r="O15" s="76">
        <f t="shared" si="0"/>
        <v>0.16443623094679327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4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7">
        <v>0.23300000000000001</v>
      </c>
      <c r="D2" s="77">
        <v>0.23300000000000001</v>
      </c>
      <c r="E2" s="77">
        <v>0</v>
      </c>
      <c r="F2" s="77">
        <v>0</v>
      </c>
      <c r="G2" s="77">
        <v>0</v>
      </c>
    </row>
    <row r="3" spans="1:7" x14ac:dyDescent="0.25">
      <c r="B3" s="43" t="s">
        <v>167</v>
      </c>
      <c r="C3" s="77">
        <v>0.58599999999999997</v>
      </c>
      <c r="D3" s="77">
        <v>0.64700000000000002</v>
      </c>
      <c r="E3" s="77">
        <v>0</v>
      </c>
      <c r="F3" s="77">
        <v>0</v>
      </c>
      <c r="G3" s="77">
        <v>0</v>
      </c>
    </row>
    <row r="4" spans="1:7" x14ac:dyDescent="0.25">
      <c r="B4" s="43" t="s">
        <v>168</v>
      </c>
      <c r="C4" s="77">
        <v>7.8E-2</v>
      </c>
      <c r="D4" s="77">
        <v>7.8E-2</v>
      </c>
      <c r="E4" s="77">
        <v>0.311</v>
      </c>
      <c r="F4" s="77">
        <v>0.72349999999999992</v>
      </c>
      <c r="G4" s="77">
        <v>0</v>
      </c>
    </row>
    <row r="5" spans="1:7" x14ac:dyDescent="0.25">
      <c r="B5" s="43" t="s">
        <v>169</v>
      </c>
      <c r="C5" s="76">
        <f>1-SUM(C2:C4)</f>
        <v>0.10300000000000009</v>
      </c>
      <c r="D5" s="76">
        <f t="shared" ref="D5:G5" si="0">1-SUM(D2:D4)</f>
        <v>4.2000000000000037E-2</v>
      </c>
      <c r="E5" s="76">
        <f t="shared" si="0"/>
        <v>0.68900000000000006</v>
      </c>
      <c r="F5" s="76">
        <f t="shared" si="0"/>
        <v>0.27650000000000008</v>
      </c>
      <c r="G5" s="76">
        <f t="shared" si="0"/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tabSelected="1" zoomScale="115" zoomScaleNormal="115" workbookViewId="0">
      <selection activeCell="C14" sqref="C14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2020</v>
      </c>
      <c r="D1">
        <f>C1+1</f>
        <v>2021</v>
      </c>
      <c r="E1">
        <f t="shared" ref="E1:M1" si="0">D1+1</f>
        <v>2022</v>
      </c>
      <c r="F1">
        <f t="shared" si="0"/>
        <v>2023</v>
      </c>
      <c r="G1">
        <f t="shared" si="0"/>
        <v>2024</v>
      </c>
      <c r="H1">
        <f t="shared" si="0"/>
        <v>2025</v>
      </c>
      <c r="I1">
        <f t="shared" si="0"/>
        <v>2026</v>
      </c>
      <c r="J1">
        <f t="shared" si="0"/>
        <v>2027</v>
      </c>
      <c r="K1">
        <f t="shared" si="0"/>
        <v>2028</v>
      </c>
      <c r="L1">
        <f>K1+1</f>
        <v>2029</v>
      </c>
      <c r="M1">
        <f t="shared" si="0"/>
        <v>2030</v>
      </c>
    </row>
    <row r="2" spans="1:13" x14ac:dyDescent="0.25">
      <c r="A2" t="s">
        <v>139</v>
      </c>
      <c r="B2" s="14" t="s">
        <v>143</v>
      </c>
      <c r="C2" s="28">
        <v>0.45515</v>
      </c>
      <c r="D2" s="28">
        <v>0.44841000000000003</v>
      </c>
      <c r="E2" s="28">
        <v>0.44151000000000001</v>
      </c>
      <c r="F2" s="28">
        <v>0.43469000000000002</v>
      </c>
      <c r="G2" s="28">
        <v>0.42795</v>
      </c>
      <c r="H2" s="28">
        <v>0.42131999999999997</v>
      </c>
      <c r="I2" s="28">
        <v>0.41481000000000001</v>
      </c>
      <c r="J2" s="28">
        <v>0.40841</v>
      </c>
      <c r="K2" s="28">
        <v>0.40212000000000003</v>
      </c>
      <c r="L2" s="28">
        <v>0.39593000000000006</v>
      </c>
      <c r="M2" s="28">
        <v>0.38985999999999998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0.15627000000000002</v>
      </c>
      <c r="D4" s="28">
        <v>0.15523999999999999</v>
      </c>
      <c r="E4" s="28">
        <v>0.15423000000000001</v>
      </c>
      <c r="F4" s="28">
        <v>0.15325</v>
      </c>
      <c r="G4" s="28">
        <v>0.15228</v>
      </c>
      <c r="H4" s="28">
        <v>0.15132000000000001</v>
      </c>
      <c r="I4" s="28">
        <v>0.15038000000000001</v>
      </c>
      <c r="J4" s="28">
        <v>0.14946000000000001</v>
      </c>
      <c r="K4" s="28">
        <v>0.14854000000000001</v>
      </c>
      <c r="L4" s="28">
        <v>0.14765</v>
      </c>
      <c r="M4" s="28">
        <v>0.14676999999999998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>
        <f>('Nutritional status distribution'!C15+5*'Nutritional status distribution'!D15+6*'Nutritional status distribution'!E15+12*'Nutritional status distribution'!F15+36*'Nutritional status distribution'!G15)/60</f>
        <v>0.3158167963055552</v>
      </c>
      <c r="D6" s="28"/>
      <c r="E6" s="28"/>
      <c r="F6" s="28"/>
      <c r="G6" s="28"/>
      <c r="H6" s="28"/>
      <c r="I6" s="28"/>
      <c r="J6" s="28"/>
      <c r="K6" s="28"/>
      <c r="L6" s="28"/>
      <c r="M6" s="28"/>
    </row>
    <row r="7" spans="1:13" x14ac:dyDescent="0.25">
      <c r="B7" s="14" t="s">
        <v>32</v>
      </c>
      <c r="C7" s="28">
        <f>('Nutritional status distribution'!H15 + 2*'Nutritional status distribution'!I15+2*'Nutritional status distribution'!J15+2*'Nutritional status distribution'!K15)/7</f>
        <v>0.24829422381514546</v>
      </c>
      <c r="D7" s="28"/>
      <c r="E7" s="28"/>
      <c r="F7" s="28"/>
      <c r="G7" s="28"/>
      <c r="H7" s="28"/>
      <c r="I7" s="28"/>
      <c r="J7" s="28"/>
      <c r="K7" s="28"/>
      <c r="L7" s="28"/>
      <c r="M7" s="28"/>
    </row>
    <row r="8" spans="1:13" x14ac:dyDescent="0.25">
      <c r="B8" s="14" t="s">
        <v>144</v>
      </c>
      <c r="C8" s="28">
        <f>('Nutritional status distribution'!L15+2*'Nutritional status distribution'!M15+2*'Nutritional status distribution'!N15+2*'Nutritional status distribution'!O15)/7</f>
        <v>0.15625475901811609</v>
      </c>
      <c r="D8" s="28"/>
      <c r="E8" s="28"/>
      <c r="F8" s="28"/>
      <c r="G8" s="28"/>
      <c r="H8" s="28"/>
      <c r="I8" s="28"/>
      <c r="J8" s="28"/>
      <c r="K8" s="28"/>
      <c r="L8" s="28"/>
      <c r="M8" s="28"/>
    </row>
    <row r="9" spans="1:13" x14ac:dyDescent="0.25">
      <c r="C9" s="137"/>
    </row>
    <row r="10" spans="1:13" x14ac:dyDescent="0.25">
      <c r="A10" t="s">
        <v>142</v>
      </c>
      <c r="B10" s="16" t="s">
        <v>147</v>
      </c>
      <c r="C10" s="28">
        <f>('Breastfeeding distribution'!C2 + 5*'Breastfeeding distribution'!D2)/6</f>
        <v>0.23300000000000001</v>
      </c>
      <c r="D10" s="28"/>
      <c r="E10" s="28"/>
      <c r="F10" s="28"/>
      <c r="G10" s="28"/>
      <c r="H10" s="28"/>
      <c r="I10" s="28"/>
      <c r="J10" s="28"/>
      <c r="K10" s="28"/>
      <c r="L10" s="28"/>
      <c r="M10" s="28"/>
    </row>
    <row r="11" spans="1:13" x14ac:dyDescent="0.25">
      <c r="B11" s="34" t="s">
        <v>146</v>
      </c>
      <c r="C11" s="28">
        <f>('Breastfeeding distribution'!E4+2*'Breastfeeding distribution'!F4)/3</f>
        <v>0.58599999999999997</v>
      </c>
      <c r="D11" s="28"/>
      <c r="E11" s="28"/>
      <c r="F11" s="28"/>
      <c r="G11" s="28"/>
      <c r="H11" s="28"/>
      <c r="I11" s="28"/>
      <c r="J11" s="28"/>
      <c r="K11" s="28"/>
      <c r="L11" s="28"/>
      <c r="M11" s="28"/>
    </row>
    <row r="13" spans="1:13" x14ac:dyDescent="0.25">
      <c r="A13" s="12" t="s">
        <v>74</v>
      </c>
      <c r="B13" s="34" t="s">
        <v>148</v>
      </c>
      <c r="C13" s="28">
        <v>96.001999999999995</v>
      </c>
      <c r="D13" s="28">
        <v>92.441999999999993</v>
      </c>
      <c r="E13" s="28">
        <v>89.064999999999998</v>
      </c>
      <c r="F13" s="28">
        <v>85.855999999999995</v>
      </c>
      <c r="G13" s="28">
        <v>82.777000000000001</v>
      </c>
      <c r="H13" s="28">
        <v>79.828000000000003</v>
      </c>
      <c r="I13" s="28">
        <v>77.010999999999996</v>
      </c>
      <c r="J13" s="28">
        <v>74.293000000000006</v>
      </c>
      <c r="K13" s="28">
        <v>71.676000000000002</v>
      </c>
      <c r="L13" s="28">
        <v>69.17</v>
      </c>
      <c r="M13" s="28">
        <v>66.742999999999995</v>
      </c>
    </row>
    <row r="14" spans="1:13" x14ac:dyDescent="0.25">
      <c r="B14" s="16" t="s">
        <v>170</v>
      </c>
      <c r="C14" s="28">
        <f>maternal_mortality</f>
        <v>5.53</v>
      </c>
      <c r="D14" s="28"/>
      <c r="E14" s="28"/>
      <c r="F14" s="28"/>
      <c r="G14" s="28"/>
      <c r="H14" s="28"/>
      <c r="I14" s="28"/>
      <c r="J14" s="28"/>
      <c r="K14" s="28"/>
      <c r="L14" s="28"/>
      <c r="M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x14ac:dyDescent="0.25">
      <c r="A2" s="49" t="s">
        <v>173</v>
      </c>
      <c r="B2" s="46" t="s">
        <v>32</v>
      </c>
      <c r="C2" s="80"/>
      <c r="D2" s="80"/>
      <c r="E2" s="57" t="str">
        <f>IF(E$7="","",E$7)</f>
        <v/>
      </c>
    </row>
    <row r="3" spans="1:5" x14ac:dyDescent="0.25">
      <c r="A3" s="47"/>
      <c r="B3" s="46" t="s">
        <v>1</v>
      </c>
      <c r="C3" s="80" t="b">
        <v>1</v>
      </c>
      <c r="D3" s="80"/>
      <c r="E3" s="57" t="str">
        <f>IF(E$7="","",E$7)</f>
        <v/>
      </c>
    </row>
    <row r="4" spans="1:5" x14ac:dyDescent="0.25">
      <c r="A4" s="47"/>
      <c r="B4" s="46" t="s">
        <v>2</v>
      </c>
      <c r="C4" s="80" t="b">
        <v>1</v>
      </c>
      <c r="D4" s="80"/>
      <c r="E4" s="57" t="str">
        <f>IF(E$7="","",E$7)</f>
        <v/>
      </c>
    </row>
    <row r="5" spans="1:5" x14ac:dyDescent="0.25">
      <c r="A5" s="47"/>
      <c r="B5" s="46" t="s">
        <v>3</v>
      </c>
      <c r="C5" s="80" t="b">
        <v>1</v>
      </c>
      <c r="D5" s="80"/>
      <c r="E5" s="57" t="str">
        <f>IF(E$7="","",E$7)</f>
        <v/>
      </c>
    </row>
    <row r="6" spans="1:5" x14ac:dyDescent="0.25">
      <c r="A6" s="47"/>
      <c r="B6" s="46" t="s">
        <v>4</v>
      </c>
      <c r="C6" s="80" t="b">
        <v>1</v>
      </c>
      <c r="D6" s="80"/>
      <c r="E6" s="57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0"/>
    </row>
    <row r="9" spans="1:5" x14ac:dyDescent="0.25">
      <c r="A9" s="49" t="s">
        <v>198</v>
      </c>
      <c r="B9" s="46" t="s">
        <v>32</v>
      </c>
      <c r="C9" s="80"/>
      <c r="D9" s="80" t="b">
        <v>0</v>
      </c>
      <c r="E9" s="57" t="str">
        <f>IF(E$7="","",E$7)</f>
        <v/>
      </c>
    </row>
    <row r="10" spans="1:5" x14ac:dyDescent="0.25">
      <c r="A10" s="47"/>
      <c r="B10" s="46" t="s">
        <v>1</v>
      </c>
      <c r="C10" s="80"/>
      <c r="D10" s="80"/>
      <c r="E10" s="57" t="str">
        <f>IF(E$7="","",E$7)</f>
        <v/>
      </c>
    </row>
    <row r="11" spans="1:5" x14ac:dyDescent="0.25">
      <c r="A11" s="47"/>
      <c r="B11" s="46" t="s">
        <v>2</v>
      </c>
      <c r="C11" s="80"/>
      <c r="D11" s="80"/>
      <c r="E11" s="57" t="str">
        <f>IF(E$7="","",E$7)</f>
        <v/>
      </c>
    </row>
    <row r="12" spans="1:5" x14ac:dyDescent="0.25">
      <c r="A12" s="47"/>
      <c r="B12" s="46" t="s">
        <v>3</v>
      </c>
      <c r="C12" s="80"/>
      <c r="D12" s="80"/>
      <c r="E12" s="57" t="str">
        <f>IF(E$7="","",E$7)</f>
        <v/>
      </c>
    </row>
    <row r="13" spans="1:5" x14ac:dyDescent="0.25">
      <c r="A13" s="47"/>
      <c r="B13" s="46" t="s">
        <v>4</v>
      </c>
      <c r="C13" s="80"/>
      <c r="D13" s="80"/>
      <c r="E13" s="57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0" t="s">
        <v>194</v>
      </c>
    </row>
    <row r="16" spans="1:5" x14ac:dyDescent="0.25">
      <c r="A16" s="49" t="s">
        <v>199</v>
      </c>
      <c r="B16" s="46" t="s">
        <v>32</v>
      </c>
      <c r="C16" s="80"/>
      <c r="D16" s="80" t="s">
        <v>194</v>
      </c>
      <c r="E16" s="57" t="str">
        <f>IF(E$7="","",E$7)</f>
        <v/>
      </c>
    </row>
    <row r="17" spans="1:5" x14ac:dyDescent="0.25">
      <c r="A17" s="47"/>
      <c r="B17" s="46" t="s">
        <v>1</v>
      </c>
      <c r="C17" s="80"/>
      <c r="D17" s="80" t="s">
        <v>194</v>
      </c>
      <c r="E17" s="57" t="str">
        <f>IF(E$7="","",E$7)</f>
        <v/>
      </c>
    </row>
    <row r="18" spans="1:5" x14ac:dyDescent="0.25">
      <c r="A18" s="47"/>
      <c r="B18" s="46" t="s">
        <v>2</v>
      </c>
      <c r="C18" s="80"/>
      <c r="D18" s="80" t="s">
        <v>194</v>
      </c>
      <c r="E18" s="57" t="str">
        <f>IF(E$7="","",E$7)</f>
        <v/>
      </c>
    </row>
    <row r="19" spans="1:5" x14ac:dyDescent="0.25">
      <c r="A19" s="47"/>
      <c r="B19" s="46" t="s">
        <v>3</v>
      </c>
      <c r="C19" s="80"/>
      <c r="D19" s="80" t="s">
        <v>194</v>
      </c>
      <c r="E19" s="57" t="str">
        <f>IF(E$7="","",E$7)</f>
        <v/>
      </c>
    </row>
    <row r="20" spans="1:5" x14ac:dyDescent="0.25">
      <c r="A20" s="47"/>
      <c r="B20" s="46" t="s">
        <v>4</v>
      </c>
      <c r="C20" s="80"/>
      <c r="D20" s="80" t="s">
        <v>194</v>
      </c>
      <c r="E20" s="57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0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60" t="s">
        <v>164</v>
      </c>
      <c r="B1" s="51" t="s">
        <v>181</v>
      </c>
      <c r="C1" s="61" t="s">
        <v>182</v>
      </c>
      <c r="D1" s="61" t="s">
        <v>186</v>
      </c>
    </row>
    <row r="2" spans="1:4" x14ac:dyDescent="0.25">
      <c r="A2" s="61" t="s">
        <v>69</v>
      </c>
      <c r="B2" s="46" t="s">
        <v>67</v>
      </c>
      <c r="C2" s="46" t="s">
        <v>183</v>
      </c>
      <c r="D2" s="80"/>
    </row>
    <row r="3" spans="1:4" x14ac:dyDescent="0.25">
      <c r="A3" s="61" t="s">
        <v>185</v>
      </c>
      <c r="B3" s="46" t="s">
        <v>176</v>
      </c>
      <c r="C3" s="46" t="s">
        <v>184</v>
      </c>
      <c r="D3" s="80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4" workbookViewId="0">
      <selection activeCell="E31" sqref="E31"/>
    </sheetView>
  </sheetViews>
  <sheetFormatPr defaultColWidth="14.44140625" defaultRowHeight="15.75" customHeight="1" x14ac:dyDescent="0.25"/>
  <cols>
    <col min="1" max="1" width="56" style="52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4" t="s">
        <v>69</v>
      </c>
      <c r="B1" s="62" t="str">
        <f>"Baseline ("&amp;start_year&amp;") coverage"</f>
        <v>Baseline (2020) coverage</v>
      </c>
      <c r="C1" s="53" t="s">
        <v>200</v>
      </c>
      <c r="D1" s="53" t="s">
        <v>271</v>
      </c>
      <c r="E1" s="53" t="s">
        <v>205</v>
      </c>
    </row>
    <row r="2" spans="1:5" ht="15.75" customHeight="1" x14ac:dyDescent="0.25">
      <c r="A2" s="52" t="s">
        <v>29</v>
      </c>
      <c r="B2" s="81">
        <v>0</v>
      </c>
      <c r="C2" s="81">
        <v>0.95</v>
      </c>
      <c r="D2" s="82">
        <v>33.919644824858139</v>
      </c>
      <c r="E2" s="82" t="s">
        <v>201</v>
      </c>
    </row>
    <row r="3" spans="1:5" ht="15.75" customHeight="1" x14ac:dyDescent="0.25">
      <c r="A3" s="52" t="s">
        <v>86</v>
      </c>
      <c r="B3" s="81">
        <v>0</v>
      </c>
      <c r="C3" s="81">
        <v>0.95</v>
      </c>
      <c r="D3" s="82">
        <v>47.342783690201649</v>
      </c>
      <c r="E3" s="82" t="s">
        <v>201</v>
      </c>
    </row>
    <row r="4" spans="1:5" ht="15.75" customHeight="1" x14ac:dyDescent="0.25">
      <c r="A4" s="52" t="s">
        <v>61</v>
      </c>
      <c r="B4" s="81">
        <v>0</v>
      </c>
      <c r="C4" s="81">
        <v>0.95</v>
      </c>
      <c r="D4" s="82">
        <v>36.416546183419875</v>
      </c>
      <c r="E4" s="82" t="s">
        <v>201</v>
      </c>
    </row>
    <row r="5" spans="1:5" ht="15.75" customHeight="1" x14ac:dyDescent="0.25">
      <c r="A5" s="52" t="s">
        <v>149</v>
      </c>
      <c r="B5" s="81">
        <v>0</v>
      </c>
      <c r="C5" s="81">
        <v>0.95</v>
      </c>
      <c r="D5" s="82">
        <v>6.6341516568287878E-2</v>
      </c>
      <c r="E5" s="82" t="s">
        <v>201</v>
      </c>
    </row>
    <row r="6" spans="1:5" ht="15.75" customHeight="1" x14ac:dyDescent="0.25">
      <c r="A6" s="52" t="s">
        <v>197</v>
      </c>
      <c r="B6" s="81">
        <v>0</v>
      </c>
      <c r="C6" s="81">
        <v>0.95</v>
      </c>
      <c r="D6" s="82">
        <v>1</v>
      </c>
      <c r="E6" s="82" t="s">
        <v>201</v>
      </c>
    </row>
    <row r="7" spans="1:5" ht="15.75" customHeight="1" x14ac:dyDescent="0.25">
      <c r="A7" s="52" t="s">
        <v>63</v>
      </c>
      <c r="B7" s="81">
        <v>0.5</v>
      </c>
      <c r="C7" s="81">
        <v>0.95</v>
      </c>
      <c r="D7" s="82">
        <v>0.3715978850511571</v>
      </c>
      <c r="E7" s="82" t="s">
        <v>201</v>
      </c>
    </row>
    <row r="8" spans="1:5" ht="15.75" customHeight="1" x14ac:dyDescent="0.25">
      <c r="A8" s="52" t="s">
        <v>64</v>
      </c>
      <c r="B8" s="81">
        <v>0.5</v>
      </c>
      <c r="C8" s="81">
        <v>0.95</v>
      </c>
      <c r="D8" s="82">
        <v>0.3715978850511571</v>
      </c>
      <c r="E8" s="82" t="s">
        <v>201</v>
      </c>
    </row>
    <row r="9" spans="1:5" ht="15.75" customHeight="1" x14ac:dyDescent="0.25">
      <c r="A9" s="52" t="s">
        <v>62</v>
      </c>
      <c r="B9" s="81">
        <v>0.5</v>
      </c>
      <c r="C9" s="81">
        <v>0.95</v>
      </c>
      <c r="D9" s="82">
        <v>0.3715978850511571</v>
      </c>
      <c r="E9" s="82" t="s">
        <v>201</v>
      </c>
    </row>
    <row r="10" spans="1:5" ht="15.75" customHeight="1" x14ac:dyDescent="0.25">
      <c r="A10" s="59" t="s">
        <v>188</v>
      </c>
      <c r="B10" s="81">
        <v>0</v>
      </c>
      <c r="C10" s="81">
        <v>0.95</v>
      </c>
      <c r="D10" s="82">
        <v>1.119918346522458</v>
      </c>
      <c r="E10" s="82" t="s">
        <v>201</v>
      </c>
    </row>
    <row r="11" spans="1:5" ht="15.75" customHeight="1" x14ac:dyDescent="0.25">
      <c r="A11" s="59" t="s">
        <v>206</v>
      </c>
      <c r="B11" s="81">
        <v>0</v>
      </c>
      <c r="C11" s="81">
        <v>0.95</v>
      </c>
      <c r="D11" s="82">
        <v>1.119918346522458</v>
      </c>
      <c r="E11" s="82" t="s">
        <v>201</v>
      </c>
    </row>
    <row r="12" spans="1:5" ht="15.75" customHeight="1" x14ac:dyDescent="0.25">
      <c r="A12" s="59" t="s">
        <v>189</v>
      </c>
      <c r="B12" s="81">
        <v>0</v>
      </c>
      <c r="C12" s="81">
        <v>0.95</v>
      </c>
      <c r="D12" s="82">
        <v>1.119918346522458</v>
      </c>
      <c r="E12" s="82" t="s">
        <v>201</v>
      </c>
    </row>
    <row r="13" spans="1:5" ht="15.75" customHeight="1" x14ac:dyDescent="0.25">
      <c r="A13" s="59" t="s">
        <v>190</v>
      </c>
      <c r="B13" s="81">
        <v>0</v>
      </c>
      <c r="C13" s="81">
        <v>0.95</v>
      </c>
      <c r="D13" s="82">
        <v>1.119918346522458</v>
      </c>
      <c r="E13" s="82" t="s">
        <v>201</v>
      </c>
    </row>
    <row r="14" spans="1:5" ht="15.75" customHeight="1" x14ac:dyDescent="0.25">
      <c r="A14" s="11" t="s">
        <v>187</v>
      </c>
      <c r="B14" s="81">
        <v>0.28600000000000003</v>
      </c>
      <c r="C14" s="81">
        <v>0.95</v>
      </c>
      <c r="D14" s="82">
        <v>15.002033020696738</v>
      </c>
      <c r="E14" s="82" t="s">
        <v>201</v>
      </c>
    </row>
    <row r="15" spans="1:5" ht="15.75" customHeight="1" x14ac:dyDescent="0.25">
      <c r="A15" s="11" t="s">
        <v>207</v>
      </c>
      <c r="B15" s="81">
        <v>0.28600000000000003</v>
      </c>
      <c r="C15" s="81">
        <v>0.95</v>
      </c>
      <c r="D15" s="82">
        <v>15.002033020696738</v>
      </c>
      <c r="E15" s="82" t="s">
        <v>201</v>
      </c>
    </row>
    <row r="16" spans="1:5" ht="15.75" customHeight="1" x14ac:dyDescent="0.25">
      <c r="A16" s="52" t="s">
        <v>57</v>
      </c>
      <c r="B16" s="81">
        <v>0.36899999999999999</v>
      </c>
      <c r="C16" s="81">
        <v>0.95</v>
      </c>
      <c r="D16" s="82">
        <v>0.13690448396621577</v>
      </c>
      <c r="E16" s="82" t="s">
        <v>201</v>
      </c>
    </row>
    <row r="17" spans="1:5" ht="15.75" customHeight="1" x14ac:dyDescent="0.25">
      <c r="A17" s="52" t="s">
        <v>47</v>
      </c>
      <c r="B17" s="81">
        <v>0.86</v>
      </c>
      <c r="C17" s="81">
        <v>0.95</v>
      </c>
      <c r="D17" s="82">
        <v>0.20461341533285801</v>
      </c>
      <c r="E17" s="82" t="s">
        <v>201</v>
      </c>
    </row>
    <row r="18" spans="1:5" ht="15.9" customHeight="1" x14ac:dyDescent="0.25">
      <c r="A18" s="52" t="s">
        <v>173</v>
      </c>
      <c r="B18" s="81">
        <v>9.9000000000000005E-2</v>
      </c>
      <c r="C18" s="81">
        <v>0.95</v>
      </c>
      <c r="D18" s="82">
        <v>0.95329805118397926</v>
      </c>
      <c r="E18" s="82" t="s">
        <v>201</v>
      </c>
    </row>
    <row r="19" spans="1:5" ht="15.75" customHeight="1" x14ac:dyDescent="0.25">
      <c r="A19" s="52" t="s">
        <v>198</v>
      </c>
      <c r="B19" s="81">
        <v>0</v>
      </c>
      <c r="C19" s="81">
        <v>0.95</v>
      </c>
      <c r="D19" s="82">
        <v>1.05</v>
      </c>
      <c r="E19" s="82" t="s">
        <v>201</v>
      </c>
    </row>
    <row r="20" spans="1:5" ht="15.75" customHeight="1" x14ac:dyDescent="0.25">
      <c r="A20" s="52" t="s">
        <v>199</v>
      </c>
      <c r="B20" s="81">
        <v>0</v>
      </c>
      <c r="C20" s="81">
        <v>0.95</v>
      </c>
      <c r="D20" s="82">
        <v>0.42</v>
      </c>
      <c r="E20" s="82" t="s">
        <v>201</v>
      </c>
    </row>
    <row r="21" spans="1:5" ht="15.75" customHeight="1" x14ac:dyDescent="0.25">
      <c r="A21" s="52" t="s">
        <v>195</v>
      </c>
      <c r="B21" s="81">
        <v>0</v>
      </c>
      <c r="C21" s="81">
        <v>0.95</v>
      </c>
      <c r="D21" s="82">
        <v>0.74930659609920203</v>
      </c>
      <c r="E21" s="82" t="s">
        <v>201</v>
      </c>
    </row>
    <row r="22" spans="1:5" ht="15.75" customHeight="1" x14ac:dyDescent="0.25">
      <c r="A22" s="52" t="s">
        <v>136</v>
      </c>
      <c r="B22" s="81">
        <v>0</v>
      </c>
      <c r="C22" s="81">
        <v>0.95</v>
      </c>
      <c r="D22" s="82">
        <v>25.542261036937088</v>
      </c>
      <c r="E22" s="82" t="s">
        <v>201</v>
      </c>
    </row>
    <row r="23" spans="1:5" ht="15.75" customHeight="1" x14ac:dyDescent="0.25">
      <c r="A23" s="52" t="s">
        <v>34</v>
      </c>
      <c r="B23" s="81">
        <v>0.61499999999999999</v>
      </c>
      <c r="C23" s="81">
        <v>0.95</v>
      </c>
      <c r="D23" s="82">
        <v>4.9019061388624658</v>
      </c>
      <c r="E23" s="82" t="s">
        <v>201</v>
      </c>
    </row>
    <row r="24" spans="1:5" ht="15.75" customHeight="1" x14ac:dyDescent="0.25">
      <c r="A24" s="52" t="s">
        <v>88</v>
      </c>
      <c r="B24" s="81">
        <v>0</v>
      </c>
      <c r="C24" s="81">
        <v>0.95</v>
      </c>
      <c r="D24" s="82">
        <v>21.704422310390239</v>
      </c>
      <c r="E24" s="82" t="s">
        <v>201</v>
      </c>
    </row>
    <row r="25" spans="1:5" ht="15.75" customHeight="1" x14ac:dyDescent="0.25">
      <c r="A25" s="52" t="s">
        <v>87</v>
      </c>
      <c r="B25" s="81">
        <v>0.03</v>
      </c>
      <c r="C25" s="81">
        <v>0.95</v>
      </c>
      <c r="D25" s="82">
        <v>21.702366186155736</v>
      </c>
      <c r="E25" s="82" t="s">
        <v>201</v>
      </c>
    </row>
    <row r="26" spans="1:5" ht="15.75" customHeight="1" x14ac:dyDescent="0.25">
      <c r="A26" s="52" t="s">
        <v>137</v>
      </c>
      <c r="B26" s="81">
        <v>0.28600000000000003</v>
      </c>
      <c r="C26" s="81">
        <v>0.95</v>
      </c>
      <c r="D26" s="82">
        <v>4.795364381028274</v>
      </c>
      <c r="E26" s="82" t="s">
        <v>201</v>
      </c>
    </row>
    <row r="27" spans="1:5" ht="15.75" customHeight="1" x14ac:dyDescent="0.25">
      <c r="A27" s="52" t="s">
        <v>59</v>
      </c>
      <c r="B27" s="81">
        <v>0</v>
      </c>
      <c r="C27" s="81">
        <v>0.95</v>
      </c>
      <c r="D27" s="82">
        <v>3.6433919016573331</v>
      </c>
      <c r="E27" s="82" t="s">
        <v>201</v>
      </c>
    </row>
    <row r="28" spans="1:5" ht="15.75" customHeight="1" x14ac:dyDescent="0.25">
      <c r="A28" s="52" t="s">
        <v>84</v>
      </c>
      <c r="B28" s="81">
        <v>0.44299999999999995</v>
      </c>
      <c r="C28" s="81">
        <v>0.95</v>
      </c>
      <c r="D28" s="82">
        <v>0.64274230364798834</v>
      </c>
      <c r="E28" s="82" t="s">
        <v>201</v>
      </c>
    </row>
    <row r="29" spans="1:5" ht="15.75" customHeight="1" x14ac:dyDescent="0.25">
      <c r="A29" s="52" t="s">
        <v>58</v>
      </c>
      <c r="B29" s="81">
        <v>9.9000000000000005E-2</v>
      </c>
      <c r="C29" s="81">
        <v>0.95</v>
      </c>
      <c r="D29" s="82">
        <v>58.621108559880248</v>
      </c>
      <c r="E29" s="82" t="s">
        <v>201</v>
      </c>
    </row>
    <row r="30" spans="1:5" ht="15.75" customHeight="1" x14ac:dyDescent="0.25">
      <c r="A30" s="52" t="s">
        <v>67</v>
      </c>
      <c r="B30" s="81">
        <v>0.4</v>
      </c>
      <c r="C30" s="81">
        <v>0.95</v>
      </c>
      <c r="D30" s="82">
        <v>169.59044331594893</v>
      </c>
      <c r="E30" s="82" t="s">
        <v>201</v>
      </c>
    </row>
    <row r="31" spans="1:5" ht="15.75" customHeight="1" x14ac:dyDescent="0.25">
      <c r="A31" s="52" t="s">
        <v>183</v>
      </c>
      <c r="B31" s="81">
        <v>0</v>
      </c>
      <c r="C31" s="81">
        <v>0.95</v>
      </c>
      <c r="D31" s="82">
        <v>169.59044331594893</v>
      </c>
      <c r="E31" s="82" t="s">
        <v>201</v>
      </c>
    </row>
    <row r="32" spans="1:5" ht="15.75" customHeight="1" x14ac:dyDescent="0.25">
      <c r="A32" s="52" t="s">
        <v>28</v>
      </c>
      <c r="B32" s="81">
        <v>0.69650000000000001</v>
      </c>
      <c r="C32" s="81">
        <v>0.95</v>
      </c>
      <c r="D32" s="82">
        <v>0.37139348897646673</v>
      </c>
      <c r="E32" s="82" t="s">
        <v>201</v>
      </c>
    </row>
    <row r="33" spans="1:6" ht="15.75" customHeight="1" x14ac:dyDescent="0.25">
      <c r="A33" s="52" t="s">
        <v>83</v>
      </c>
      <c r="B33" s="81">
        <v>0.17</v>
      </c>
      <c r="C33" s="81">
        <v>0.95</v>
      </c>
      <c r="D33" s="82">
        <v>0.9</v>
      </c>
      <c r="E33" s="82" t="s">
        <v>201</v>
      </c>
    </row>
    <row r="34" spans="1:6" ht="15.75" customHeight="1" x14ac:dyDescent="0.25">
      <c r="A34" s="52" t="s">
        <v>82</v>
      </c>
      <c r="B34" s="81">
        <v>0.21600000000000003</v>
      </c>
      <c r="C34" s="81">
        <v>0.95</v>
      </c>
      <c r="D34" s="82">
        <v>0.9</v>
      </c>
      <c r="E34" s="82" t="s">
        <v>201</v>
      </c>
    </row>
    <row r="35" spans="1:6" ht="15.75" customHeight="1" x14ac:dyDescent="0.25">
      <c r="A35" s="52" t="s">
        <v>81</v>
      </c>
      <c r="B35" s="81">
        <v>0.109</v>
      </c>
      <c r="C35" s="81">
        <v>0.95</v>
      </c>
      <c r="D35" s="82">
        <v>79</v>
      </c>
      <c r="E35" s="82" t="s">
        <v>201</v>
      </c>
    </row>
    <row r="36" spans="1:6" ht="15.75" customHeight="1" x14ac:dyDescent="0.25">
      <c r="A36" s="52" t="s">
        <v>79</v>
      </c>
      <c r="B36" s="81">
        <v>0.58200000000000007</v>
      </c>
      <c r="C36" s="81">
        <v>0.95</v>
      </c>
      <c r="D36" s="82">
        <v>31</v>
      </c>
      <c r="E36" s="82" t="s">
        <v>201</v>
      </c>
    </row>
    <row r="37" spans="1:6" s="36" customFormat="1" ht="15.75" customHeight="1" x14ac:dyDescent="0.25">
      <c r="A37" s="52" t="s">
        <v>80</v>
      </c>
      <c r="B37" s="81">
        <v>8.6999999999999994E-2</v>
      </c>
      <c r="C37" s="81">
        <v>0.95</v>
      </c>
      <c r="D37" s="82">
        <v>102</v>
      </c>
      <c r="E37" s="82" t="s">
        <v>201</v>
      </c>
      <c r="F37" s="35"/>
    </row>
    <row r="38" spans="1:6" ht="15.75" customHeight="1" x14ac:dyDescent="0.25">
      <c r="A38" s="52" t="s">
        <v>85</v>
      </c>
      <c r="B38" s="81">
        <v>0.10300000000000001</v>
      </c>
      <c r="C38" s="81">
        <v>0.95</v>
      </c>
      <c r="D38" s="82">
        <v>1.9953591616434012</v>
      </c>
      <c r="E38" s="82" t="s">
        <v>201</v>
      </c>
    </row>
    <row r="39" spans="1:6" ht="15.75" customHeight="1" x14ac:dyDescent="0.25">
      <c r="A39" s="52" t="s">
        <v>60</v>
      </c>
      <c r="B39" s="81">
        <v>0.10300000000000001</v>
      </c>
      <c r="C39" s="81">
        <v>0.95</v>
      </c>
      <c r="D39" s="82">
        <v>0.39681888902799872</v>
      </c>
      <c r="E39" s="82" t="s">
        <v>201</v>
      </c>
    </row>
    <row r="40" spans="1:6" ht="15.75" customHeight="1" x14ac:dyDescent="0.25">
      <c r="F40" s="36"/>
    </row>
  </sheetData>
  <sheetProtection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45</vt:i4>
      </vt:variant>
    </vt:vector>
  </HeadingPairs>
  <TitlesOfParts>
    <vt:vector size="72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2020-06-17T04:29:31Z</dcterms:modified>
</cp:coreProperties>
</file>