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D1518A7D-658C-4CA1-9F68-A35FDB42F26C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37" i="2"/>
  <c r="A32" i="2"/>
  <c r="A28" i="2"/>
  <c r="A19" i="2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G38" i="2"/>
  <c r="H38" i="2"/>
  <c r="I38" i="2" s="1"/>
  <c r="G39" i="2"/>
  <c r="H39" i="2"/>
  <c r="I39" i="2" s="1"/>
  <c r="G40" i="2"/>
  <c r="H40" i="2"/>
  <c r="I24" i="2"/>
  <c r="I37" i="2"/>
  <c r="I17" i="2"/>
  <c r="I40" i="2"/>
  <c r="I20" i="2"/>
  <c r="I21" i="2"/>
  <c r="I22" i="2"/>
  <c r="I30" i="2"/>
  <c r="I36" i="2"/>
  <c r="I2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I8" i="2" s="1"/>
  <c r="H9" i="2"/>
  <c r="H10" i="2"/>
  <c r="H11" i="2"/>
  <c r="H12" i="2"/>
  <c r="H13" i="2"/>
  <c r="H14" i="2"/>
  <c r="H15" i="2"/>
  <c r="C20" i="1"/>
  <c r="G3" i="2"/>
  <c r="G4" i="2"/>
  <c r="G5" i="2"/>
  <c r="G6" i="2"/>
  <c r="G7" i="2"/>
  <c r="G8" i="2"/>
  <c r="G9" i="2"/>
  <c r="G10" i="2"/>
  <c r="I10" i="2" s="1"/>
  <c r="G11" i="2"/>
  <c r="I11" i="2" s="1"/>
  <c r="G12" i="2"/>
  <c r="I12" i="2" s="1"/>
  <c r="G13" i="2"/>
  <c r="I13" i="2" s="1"/>
  <c r="G14" i="2"/>
  <c r="G15" i="2"/>
  <c r="G2" i="2"/>
  <c r="I2" i="2" s="1"/>
  <c r="A31" i="2" l="1"/>
  <c r="A17" i="2"/>
  <c r="A38" i="2"/>
  <c r="A36" i="2"/>
  <c r="A14" i="2"/>
  <c r="A27" i="2"/>
  <c r="A30" i="2"/>
  <c r="I6" i="2"/>
  <c r="C6" i="51"/>
  <c r="A35" i="2"/>
  <c r="A21" i="2"/>
  <c r="A16" i="2"/>
  <c r="I5" i="2"/>
  <c r="I3" i="2"/>
  <c r="C8" i="51"/>
  <c r="A39" i="2"/>
  <c r="A25" i="2"/>
  <c r="A18" i="2"/>
  <c r="A15" i="2"/>
  <c r="A23" i="2"/>
  <c r="A40" i="2"/>
  <c r="I4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<sst xmlns="http://schemas.openxmlformats.org/spreadsheetml/2006/main" count="1097" uniqueCount="272">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</sst>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1042547</v>
      </c>
    </row>
    <row r="8" spans="1:3" ht="15" customHeight="1" x14ac:dyDescent="0.25">
      <c r="B8" s="7" t="s">
        <v>106</v>
      </c>
      <c r="C8" s="66">
        <v>0.3931</v>
      </c>
    </row>
    <row r="9" spans="1:3" ht="15" customHeight="1" x14ac:dyDescent="0.25">
      <c r="B9" s="9" t="s">
        <v>107</v>
      </c>
      <c r="C9" s="67">
        <v>0.3362</v>
      </c>
    </row>
    <row r="10" spans="1:3" ht="15" customHeight="1" x14ac:dyDescent="0.25">
      <c r="B10" s="9" t="s">
        <v>105</v>
      </c>
      <c r="C10" s="67">
        <v>0.299615001678467</v>
      </c>
    </row>
    <row r="11" spans="1:3" ht="15" customHeight="1" x14ac:dyDescent="0.25">
      <c r="B11" s="7" t="s">
        <v>108</v>
      </c>
      <c r="C11" s="66">
        <v>0.54899999999999993</v>
      </c>
    </row>
    <row r="12" spans="1:3" ht="15" customHeight="1" x14ac:dyDescent="0.25">
      <c r="B12" s="7" t="s">
        <v>109</v>
      </c>
      <c r="C12" s="66">
        <v>0.63</v>
      </c>
    </row>
    <row r="13" spans="1:3" ht="15" customHeight="1" x14ac:dyDescent="0.25">
      <c r="B13" s="7" t="s">
        <v>110</v>
      </c>
      <c r="C13" s="66">
        <v>0.59399999999999997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8.43E-2</v>
      </c>
    </row>
    <row r="24" spans="1:3" ht="15" customHeight="1" x14ac:dyDescent="0.25">
      <c r="B24" s="20" t="s">
        <v>102</v>
      </c>
      <c r="C24" s="67">
        <v>0.46639999999999998</v>
      </c>
    </row>
    <row r="25" spans="1:3" ht="15" customHeight="1" x14ac:dyDescent="0.25">
      <c r="B25" s="20" t="s">
        <v>103</v>
      </c>
      <c r="C25" s="67">
        <v>0.34599999999999992</v>
      </c>
    </row>
    <row r="26" spans="1:3" ht="15" customHeight="1" x14ac:dyDescent="0.25">
      <c r="B26" s="20" t="s">
        <v>104</v>
      </c>
      <c r="C26" s="67">
        <v>0.1033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23.7</v>
      </c>
    </row>
    <row r="38" spans="1:5" ht="15" customHeight="1" x14ac:dyDescent="0.25">
      <c r="B38" s="16" t="s">
        <v>91</v>
      </c>
      <c r="C38" s="71">
        <v>41.8</v>
      </c>
      <c r="D38" s="17"/>
      <c r="E38" s="18"/>
    </row>
    <row r="39" spans="1:5" ht="15" customHeight="1" x14ac:dyDescent="0.25">
      <c r="B39" s="16" t="s">
        <v>90</v>
      </c>
      <c r="C39" s="71">
        <v>53.4</v>
      </c>
      <c r="D39" s="17"/>
      <c r="E39" s="17"/>
    </row>
    <row r="40" spans="1:5" ht="15" customHeight="1" x14ac:dyDescent="0.25">
      <c r="B40" s="16" t="s">
        <v>171</v>
      </c>
      <c r="C40" s="71">
        <v>2.15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15.9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1.46E-2</v>
      </c>
      <c r="D45" s="17"/>
    </row>
    <row r="46" spans="1:5" ht="15.75" customHeight="1" x14ac:dyDescent="0.25">
      <c r="B46" s="16" t="s">
        <v>11</v>
      </c>
      <c r="C46" s="67">
        <v>5.0799999999999998E-2</v>
      </c>
      <c r="D46" s="17"/>
    </row>
    <row r="47" spans="1:5" ht="15.75" customHeight="1" x14ac:dyDescent="0.25">
      <c r="B47" s="16" t="s">
        <v>12</v>
      </c>
      <c r="C47" s="67">
        <v>0.2014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0.73320000000000007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4.8594597151174925</v>
      </c>
      <c r="D51" s="17"/>
    </row>
    <row r="52" spans="1:4" ht="15" customHeight="1" x14ac:dyDescent="0.25">
      <c r="B52" s="16" t="s">
        <v>125</v>
      </c>
      <c r="C52" s="72">
        <v>4.1442062890499995</v>
      </c>
    </row>
    <row r="53" spans="1:4" ht="15.75" customHeight="1" x14ac:dyDescent="0.25">
      <c r="B53" s="16" t="s">
        <v>126</v>
      </c>
      <c r="C53" s="72">
        <v>4.1442062890499995</v>
      </c>
    </row>
    <row r="54" spans="1:4" ht="15.75" customHeight="1" x14ac:dyDescent="0.25">
      <c r="B54" s="16" t="s">
        <v>127</v>
      </c>
      <c r="C54" s="72">
        <v>2.6712843657000001</v>
      </c>
    </row>
    <row r="55" spans="1:4" ht="15.75" customHeight="1" x14ac:dyDescent="0.25">
      <c r="B55" s="16" t="s">
        <v>128</v>
      </c>
      <c r="C55" s="72">
        <v>2.6712843657000001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0.48330251502779342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4.8594597151174925</v>
      </c>
      <c r="C2" s="26">
        <f>'Baseline year population inputs'!C52</f>
        <v>4.1442062890499995</v>
      </c>
      <c r="D2" s="26">
        <f>'Baseline year population inputs'!C53</f>
        <v>4.1442062890499995</v>
      </c>
      <c r="E2" s="26">
        <f>'Baseline year population inputs'!C54</f>
        <v>2.6712843657000001</v>
      </c>
      <c r="F2" s="26">
        <f>'Baseline year population inputs'!C55</f>
        <v>2.6712843657000001</v>
      </c>
    </row>
    <row r="3" spans="1:6" ht="15.75" customHeight="1" x14ac:dyDescent="0.25">
      <c r="A3" s="3" t="s">
        <v>65</v>
      </c>
      <c r="B3" s="26">
        <f>frac_mam_1month * 2.6</f>
        <v>0.23193749800000005</v>
      </c>
      <c r="C3" s="26">
        <f>frac_mam_1_5months * 2.6</f>
        <v>0.23193749800000005</v>
      </c>
      <c r="D3" s="26">
        <f>frac_mam_6_11months * 2.6</f>
        <v>0.22190813059999998</v>
      </c>
      <c r="E3" s="26">
        <f>frac_mam_12_23months * 2.6</f>
        <v>0.23721643920000002</v>
      </c>
      <c r="F3" s="26">
        <f>frac_mam_24_59months * 2.6</f>
        <v>0.17451391620000001</v>
      </c>
    </row>
    <row r="4" spans="1:6" ht="15.75" customHeight="1" x14ac:dyDescent="0.25">
      <c r="A4" s="3" t="s">
        <v>66</v>
      </c>
      <c r="B4" s="26">
        <f>frac_sam_1month * 2.6</f>
        <v>0.29163394000000004</v>
      </c>
      <c r="C4" s="26">
        <f>frac_sam_1_5months * 2.6</f>
        <v>0.29163394000000004</v>
      </c>
      <c r="D4" s="26">
        <f>frac_sam_6_11months * 2.6</f>
        <v>0.2467463674</v>
      </c>
      <c r="E4" s="26">
        <f>frac_sam_12_23months * 2.6</f>
        <v>0.2216386588</v>
      </c>
      <c r="F4" s="26">
        <f>frac_sam_24_59months * 2.6</f>
        <v>0.11717544886666667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0.3931</v>
      </c>
      <c r="E2" s="87">
        <f>food_insecure</f>
        <v>0.3931</v>
      </c>
      <c r="F2" s="87">
        <f>food_insecure</f>
        <v>0.3931</v>
      </c>
      <c r="G2" s="87">
        <f>food_insecure</f>
        <v>0.3931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0.3931</v>
      </c>
      <c r="F5" s="87">
        <f>food_insecure</f>
        <v>0.3931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0.18690229673528819</v>
      </c>
      <c r="D7" s="87">
        <f>diarrhoea_1_5mo/26</f>
        <v>0.15939254957884613</v>
      </c>
      <c r="E7" s="87">
        <f>diarrhoea_6_11mo/26</f>
        <v>0.15939254957884613</v>
      </c>
      <c r="F7" s="87">
        <f>diarrhoea_12_23mo/26</f>
        <v>0.10274170637307692</v>
      </c>
      <c r="G7" s="87">
        <f>diarrhoea_24_59mo/26</f>
        <v>0.10274170637307692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0.3931</v>
      </c>
      <c r="F8" s="87">
        <f>food_insecure</f>
        <v>0.3931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0.63</v>
      </c>
      <c r="E9" s="87">
        <f>IF(ISBLANK(comm_deliv), frac_children_health_facility,1)</f>
        <v>0.63</v>
      </c>
      <c r="F9" s="87">
        <f>IF(ISBLANK(comm_deliv), frac_children_health_facility,1)</f>
        <v>0.63</v>
      </c>
      <c r="G9" s="87">
        <f>IF(ISBLANK(comm_deliv), frac_children_health_facility,1)</f>
        <v>0.63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0.18690229673528819</v>
      </c>
      <c r="D11" s="87">
        <f>diarrhoea_1_5mo/26</f>
        <v>0.15939254957884613</v>
      </c>
      <c r="E11" s="87">
        <f>diarrhoea_6_11mo/26</f>
        <v>0.15939254957884613</v>
      </c>
      <c r="F11" s="87">
        <f>diarrhoea_12_23mo/26</f>
        <v>0.10274170637307692</v>
      </c>
      <c r="G11" s="87">
        <f>diarrhoea_24_59mo/26</f>
        <v>0.10274170637307692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0.3931</v>
      </c>
      <c r="I14" s="87">
        <f>food_insecure</f>
        <v>0.3931</v>
      </c>
      <c r="J14" s="87">
        <f>food_insecure</f>
        <v>0.3931</v>
      </c>
      <c r="K14" s="87">
        <f>food_insecure</f>
        <v>0.3931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0.54899999999999993</v>
      </c>
      <c r="I17" s="87">
        <f>frac_PW_health_facility</f>
        <v>0.54899999999999993</v>
      </c>
      <c r="J17" s="87">
        <f>frac_PW_health_facility</f>
        <v>0.54899999999999993</v>
      </c>
      <c r="K17" s="87">
        <f>frac_PW_health_facility</f>
        <v>0.54899999999999993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0.3362</v>
      </c>
      <c r="I18" s="87">
        <f>frac_malaria_risk</f>
        <v>0.3362</v>
      </c>
      <c r="J18" s="87">
        <f>frac_malaria_risk</f>
        <v>0.3362</v>
      </c>
      <c r="K18" s="87">
        <f>frac_malaria_risk</f>
        <v>0.3362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0.59399999999999997</v>
      </c>
      <c r="M23" s="87">
        <f>famplan_unmet_need</f>
        <v>0.59399999999999997</v>
      </c>
      <c r="N23" s="87">
        <f>famplan_unmet_need</f>
        <v>0.59399999999999997</v>
      </c>
      <c r="O23" s="87">
        <f>famplan_unmet_need</f>
        <v>0.59399999999999997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0.40100613117399203</v>
      </c>
      <c r="M24" s="87">
        <f>(1-food_insecure)*(0.49)+food_insecure*(0.7)</f>
        <v>0.57255100000000003</v>
      </c>
      <c r="N24" s="87">
        <f>(1-food_insecure)*(0.49)+food_insecure*(0.7)</f>
        <v>0.57255100000000003</v>
      </c>
      <c r="O24" s="87">
        <f>(1-food_insecure)*(0.49)+food_insecure*(0.7)</f>
        <v>0.57255100000000003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0.17185977050313944</v>
      </c>
      <c r="M25" s="87">
        <f>(1-food_insecure)*(0.21)+food_insecure*(0.3)</f>
        <v>0.24537900000000001</v>
      </c>
      <c r="N25" s="87">
        <f>(1-food_insecure)*(0.21)+food_insecure*(0.3)</f>
        <v>0.24537900000000001</v>
      </c>
      <c r="O25" s="87">
        <f>(1-food_insecure)*(0.21)+food_insecure*(0.3)</f>
        <v>0.24537900000000001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0.1275190966444015</v>
      </c>
      <c r="M26" s="87">
        <f>(1-food_insecure)*(0.3)</f>
        <v>0.18206999999999998</v>
      </c>
      <c r="N26" s="87">
        <f>(1-food_insecure)*(0.3)</f>
        <v>0.18206999999999998</v>
      </c>
      <c r="O26" s="87">
        <f>(1-food_insecure)*(0.3)</f>
        <v>0.18206999999999998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0.299615001678467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0.3362</v>
      </c>
      <c r="D33" s="87">
        <f t="shared" si="3"/>
        <v>0.3362</v>
      </c>
      <c r="E33" s="87">
        <f t="shared" si="3"/>
        <v>0.3362</v>
      </c>
      <c r="F33" s="87">
        <f t="shared" si="3"/>
        <v>0.3362</v>
      </c>
      <c r="G33" s="87">
        <f t="shared" si="3"/>
        <v>0.3362</v>
      </c>
      <c r="H33" s="87">
        <f t="shared" si="3"/>
        <v>0.3362</v>
      </c>
      <c r="I33" s="87">
        <f t="shared" si="3"/>
        <v>0.3362</v>
      </c>
      <c r="J33" s="87">
        <f t="shared" si="3"/>
        <v>0.3362</v>
      </c>
      <c r="K33" s="87">
        <f t="shared" si="3"/>
        <v>0.3362</v>
      </c>
      <c r="L33" s="87">
        <f t="shared" si="3"/>
        <v>0.3362</v>
      </c>
      <c r="M33" s="87">
        <f t="shared" si="3"/>
        <v>0.3362</v>
      </c>
      <c r="N33" s="87">
        <f t="shared" si="3"/>
        <v>0.3362</v>
      </c>
      <c r="O33" s="87">
        <f t="shared" si="3"/>
        <v>0.3362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231526.152</v>
      </c>
      <c r="C2" s="74">
        <v>436000</v>
      </c>
      <c r="D2" s="74">
        <v>739000</v>
      </c>
      <c r="E2" s="74">
        <v>540000</v>
      </c>
      <c r="F2" s="74">
        <v>357000</v>
      </c>
      <c r="G2" s="22">
        <f t="shared" ref="G2:G40" si="0">C2+D2+E2+F2</f>
        <v>2072000</v>
      </c>
      <c r="H2" s="22">
        <f t="shared" ref="H2:H40" si="1">(B2 + stillbirth*B2/(1000-stillbirth))/(1-abortion)</f>
        <v>270421.71912722633</v>
      </c>
      <c r="I2" s="22">
        <f>G2-H2</f>
        <v>1801578.2808727736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233682.68</v>
      </c>
      <c r="C3" s="74">
        <v>443000</v>
      </c>
      <c r="D3" s="74">
        <v>758000</v>
      </c>
      <c r="E3" s="74">
        <v>552000</v>
      </c>
      <c r="F3" s="74">
        <v>371000</v>
      </c>
      <c r="G3" s="22">
        <f t="shared" si="0"/>
        <v>2124000</v>
      </c>
      <c r="H3" s="22">
        <f t="shared" si="1"/>
        <v>272940.53613372159</v>
      </c>
      <c r="I3" s="22">
        <f t="shared" ref="I3:I15" si="3">G3-H3</f>
        <v>1851059.4638662785</v>
      </c>
    </row>
    <row r="4" spans="1:9" ht="15.75" customHeight="1" x14ac:dyDescent="0.25">
      <c r="A4" s="7">
        <f t="shared" si="2"/>
        <v>2022</v>
      </c>
      <c r="B4" s="73">
        <v>235776.046</v>
      </c>
      <c r="C4" s="74">
        <v>449000</v>
      </c>
      <c r="D4" s="74">
        <v>777000</v>
      </c>
      <c r="E4" s="74">
        <v>562000</v>
      </c>
      <c r="F4" s="74">
        <v>386000</v>
      </c>
      <c r="G4" s="22">
        <f t="shared" si="0"/>
        <v>2174000</v>
      </c>
      <c r="H4" s="22">
        <f t="shared" si="1"/>
        <v>275385.5801496671</v>
      </c>
      <c r="I4" s="22">
        <f t="shared" si="3"/>
        <v>1898614.4198503329</v>
      </c>
    </row>
    <row r="5" spans="1:9" ht="15.75" customHeight="1" x14ac:dyDescent="0.25">
      <c r="A5" s="7">
        <f t="shared" si="2"/>
        <v>2023</v>
      </c>
      <c r="B5" s="73">
        <v>237805.46400000001</v>
      </c>
      <c r="C5" s="74">
        <v>455000</v>
      </c>
      <c r="D5" s="74">
        <v>795000</v>
      </c>
      <c r="E5" s="74">
        <v>570000</v>
      </c>
      <c r="F5" s="74">
        <v>403000</v>
      </c>
      <c r="G5" s="22">
        <f t="shared" si="0"/>
        <v>2223000</v>
      </c>
      <c r="H5" s="22">
        <f t="shared" si="1"/>
        <v>277755.93312986835</v>
      </c>
      <c r="I5" s="22">
        <f t="shared" si="3"/>
        <v>1945244.0668701315</v>
      </c>
    </row>
    <row r="6" spans="1:9" ht="15.75" customHeight="1" x14ac:dyDescent="0.25">
      <c r="A6" s="7">
        <f t="shared" si="2"/>
        <v>2024</v>
      </c>
      <c r="B6" s="73">
        <v>239744.75399999996</v>
      </c>
      <c r="C6" s="74">
        <v>461000</v>
      </c>
      <c r="D6" s="74">
        <v>812000</v>
      </c>
      <c r="E6" s="74">
        <v>578000</v>
      </c>
      <c r="F6" s="74">
        <v>420000</v>
      </c>
      <c r="G6" s="22">
        <f t="shared" si="0"/>
        <v>2271000</v>
      </c>
      <c r="H6" s="22">
        <f t="shared" si="1"/>
        <v>280021.0169277722</v>
      </c>
      <c r="I6" s="22">
        <f t="shared" si="3"/>
        <v>1990978.9830722278</v>
      </c>
    </row>
    <row r="7" spans="1:9" ht="15.75" customHeight="1" x14ac:dyDescent="0.25">
      <c r="A7" s="7">
        <f t="shared" si="2"/>
        <v>2025</v>
      </c>
      <c r="B7" s="73">
        <v>241619.04800000001</v>
      </c>
      <c r="C7" s="74">
        <v>466000</v>
      </c>
      <c r="D7" s="74">
        <v>828000</v>
      </c>
      <c r="E7" s="74">
        <v>586000</v>
      </c>
      <c r="F7" s="74">
        <v>437000</v>
      </c>
      <c r="G7" s="22">
        <f t="shared" si="0"/>
        <v>2317000</v>
      </c>
      <c r="H7" s="22">
        <f t="shared" si="1"/>
        <v>282210.18562967272</v>
      </c>
      <c r="I7" s="22">
        <f t="shared" si="3"/>
        <v>2034789.8143703272</v>
      </c>
    </row>
    <row r="8" spans="1:9" ht="15.75" customHeight="1" x14ac:dyDescent="0.25">
      <c r="A8" s="7">
        <f t="shared" si="2"/>
        <v>2026</v>
      </c>
      <c r="B8" s="73">
        <v>243541.10080000001</v>
      </c>
      <c r="C8" s="74">
        <v>471000</v>
      </c>
      <c r="D8" s="74">
        <v>843000</v>
      </c>
      <c r="E8" s="74">
        <v>593000</v>
      </c>
      <c r="F8" s="74">
        <v>454000</v>
      </c>
      <c r="G8" s="22">
        <f t="shared" si="0"/>
        <v>2361000</v>
      </c>
      <c r="H8" s="22">
        <f t="shared" si="1"/>
        <v>284455.13643950305</v>
      </c>
      <c r="I8" s="22">
        <f t="shared" si="3"/>
        <v>2076544.8635604968</v>
      </c>
    </row>
    <row r="9" spans="1:9" ht="15.75" customHeight="1" x14ac:dyDescent="0.25">
      <c r="A9" s="7">
        <f t="shared" si="2"/>
        <v>2027</v>
      </c>
      <c r="B9" s="73">
        <v>245376.01440000004</v>
      </c>
      <c r="C9" s="74">
        <v>475000</v>
      </c>
      <c r="D9" s="74">
        <v>858000</v>
      </c>
      <c r="E9" s="74">
        <v>600000</v>
      </c>
      <c r="F9" s="74">
        <v>470000</v>
      </c>
      <c r="G9" s="22">
        <f t="shared" si="0"/>
        <v>2403000</v>
      </c>
      <c r="H9" s="22">
        <f t="shared" si="1"/>
        <v>286598.3089747678</v>
      </c>
      <c r="I9" s="22">
        <f t="shared" si="3"/>
        <v>2116401.691025232</v>
      </c>
    </row>
    <row r="10" spans="1:9" ht="15.75" customHeight="1" x14ac:dyDescent="0.25">
      <c r="A10" s="7">
        <f t="shared" si="2"/>
        <v>2028</v>
      </c>
      <c r="B10" s="73">
        <v>247148.16960000005</v>
      </c>
      <c r="C10" s="74">
        <v>479000</v>
      </c>
      <c r="D10" s="74">
        <v>871000</v>
      </c>
      <c r="E10" s="74">
        <v>605000</v>
      </c>
      <c r="F10" s="74">
        <v>485000</v>
      </c>
      <c r="G10" s="22">
        <f t="shared" si="0"/>
        <v>2440000</v>
      </c>
      <c r="H10" s="22">
        <f t="shared" si="1"/>
        <v>288668.17992284225</v>
      </c>
      <c r="I10" s="22">
        <f t="shared" si="3"/>
        <v>2151331.8200771576</v>
      </c>
    </row>
    <row r="11" spans="1:9" ht="15.75" customHeight="1" x14ac:dyDescent="0.25">
      <c r="A11" s="7">
        <f t="shared" si="2"/>
        <v>2029</v>
      </c>
      <c r="B11" s="73">
        <v>248832.68480000005</v>
      </c>
      <c r="C11" s="74">
        <v>483000</v>
      </c>
      <c r="D11" s="74">
        <v>884000</v>
      </c>
      <c r="E11" s="74">
        <v>609000</v>
      </c>
      <c r="F11" s="74">
        <v>500000</v>
      </c>
      <c r="G11" s="22">
        <f t="shared" si="0"/>
        <v>2476000</v>
      </c>
      <c r="H11" s="22">
        <f t="shared" si="1"/>
        <v>290635.68766373856</v>
      </c>
      <c r="I11" s="22">
        <f t="shared" si="3"/>
        <v>2185364.3123362614</v>
      </c>
    </row>
    <row r="12" spans="1:9" ht="15.75" customHeight="1" x14ac:dyDescent="0.25">
      <c r="A12" s="7">
        <f t="shared" si="2"/>
        <v>2030</v>
      </c>
      <c r="B12" s="73">
        <v>250429.56</v>
      </c>
      <c r="C12" s="74">
        <v>487000</v>
      </c>
      <c r="D12" s="74">
        <v>895000</v>
      </c>
      <c r="E12" s="74">
        <v>612000</v>
      </c>
      <c r="F12" s="74">
        <v>512000</v>
      </c>
      <c r="G12" s="22">
        <f t="shared" si="0"/>
        <v>2506000</v>
      </c>
      <c r="H12" s="22">
        <f t="shared" si="1"/>
        <v>292500.8321974568</v>
      </c>
      <c r="I12" s="22">
        <f t="shared" si="3"/>
        <v>2213499.1678025434</v>
      </c>
    </row>
    <row r="13" spans="1:9" ht="15.75" customHeight="1" x14ac:dyDescent="0.25">
      <c r="A13" s="7" t="str">
        <f t="shared" si="2"/>
        <v/>
      </c>
      <c r="B13" s="73">
        <v>430000</v>
      </c>
      <c r="C13" s="74">
        <v>721000</v>
      </c>
      <c r="D13" s="74">
        <v>528000</v>
      </c>
      <c r="E13" s="74">
        <v>346000</v>
      </c>
      <c r="F13" s="74">
        <v>3.7064350000000003E-2</v>
      </c>
      <c r="G13" s="22">
        <f t="shared" si="0"/>
        <v>1595000.03706435</v>
      </c>
      <c r="H13" s="22">
        <f t="shared" si="1"/>
        <v>502238.46515925042</v>
      </c>
      <c r="I13" s="22">
        <f t="shared" si="3"/>
        <v>1092761.5719050996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3.7064350000000003E-2</v>
      </c>
    </row>
    <row r="4" spans="1:8" ht="15.75" customHeight="1" x14ac:dyDescent="0.25">
      <c r="B4" s="24" t="s">
        <v>7</v>
      </c>
      <c r="C4" s="75">
        <v>7.6010944095478872E-2</v>
      </c>
    </row>
    <row r="5" spans="1:8" ht="15.75" customHeight="1" x14ac:dyDescent="0.25">
      <c r="B5" s="24" t="s">
        <v>8</v>
      </c>
      <c r="C5" s="75">
        <v>7.8671210277716924E-2</v>
      </c>
    </row>
    <row r="6" spans="1:8" ht="15.75" customHeight="1" x14ac:dyDescent="0.25">
      <c r="B6" s="24" t="s">
        <v>10</v>
      </c>
      <c r="C6" s="75">
        <v>9.5056138100216223E-2</v>
      </c>
    </row>
    <row r="7" spans="1:8" ht="15.75" customHeight="1" x14ac:dyDescent="0.25">
      <c r="B7" s="24" t="s">
        <v>13</v>
      </c>
      <c r="C7" s="75">
        <v>0.28183051587985553</v>
      </c>
    </row>
    <row r="8" spans="1:8" ht="15.75" customHeight="1" x14ac:dyDescent="0.25">
      <c r="B8" s="24" t="s">
        <v>14</v>
      </c>
      <c r="C8" s="75">
        <v>3.98434597251277E-4</v>
      </c>
    </row>
    <row r="9" spans="1:8" ht="15.75" customHeight="1" x14ac:dyDescent="0.25">
      <c r="B9" s="24" t="s">
        <v>27</v>
      </c>
      <c r="C9" s="75">
        <v>0.14799727143211325</v>
      </c>
    </row>
    <row r="10" spans="1:8" ht="15.75" customHeight="1" x14ac:dyDescent="0.25">
      <c r="B10" s="24" t="s">
        <v>15</v>
      </c>
      <c r="C10" s="75">
        <v>0.28297113561736786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0.12200646546258601</v>
      </c>
      <c r="D14" s="75">
        <v>0.12200646546258601</v>
      </c>
      <c r="E14" s="75">
        <v>0.186926943777697</v>
      </c>
      <c r="F14" s="75">
        <v>0.186926943777697</v>
      </c>
    </row>
    <row r="15" spans="1:8" ht="15.75" customHeight="1" x14ac:dyDescent="0.25">
      <c r="B15" s="24" t="s">
        <v>16</v>
      </c>
      <c r="C15" s="75">
        <v>0.190027106793238</v>
      </c>
      <c r="D15" s="75">
        <v>0.190027106793238</v>
      </c>
      <c r="E15" s="75">
        <v>9.9077055353835514E-2</v>
      </c>
      <c r="F15" s="75">
        <v>9.9077055353835514E-2</v>
      </c>
    </row>
    <row r="16" spans="1:8" ht="15.75" customHeight="1" x14ac:dyDescent="0.25">
      <c r="B16" s="24" t="s">
        <v>17</v>
      </c>
      <c r="C16" s="75">
        <v>6.3064225967505494E-2</v>
      </c>
      <c r="D16" s="75">
        <v>6.3064225967505494E-2</v>
      </c>
      <c r="E16" s="75">
        <v>4.4000204616592403E-2</v>
      </c>
      <c r="F16" s="75">
        <v>4.4000204616592403E-2</v>
      </c>
    </row>
    <row r="17" spans="1:8" ht="15.75" customHeight="1" x14ac:dyDescent="0.25">
      <c r="B17" s="24" t="s">
        <v>18</v>
      </c>
      <c r="C17" s="75">
        <v>1.5370852935034601E-2</v>
      </c>
      <c r="D17" s="75">
        <v>1.5370852935034601E-2</v>
      </c>
      <c r="E17" s="75">
        <v>4.4813962599448198E-2</v>
      </c>
      <c r="F17" s="75">
        <v>4.4813962599448198E-2</v>
      </c>
    </row>
    <row r="18" spans="1:8" ht="15.75" customHeight="1" x14ac:dyDescent="0.25">
      <c r="B18" s="24" t="s">
        <v>19</v>
      </c>
      <c r="C18" s="75">
        <v>6.3148613483336698E-3</v>
      </c>
      <c r="D18" s="75">
        <v>6.3148613483336698E-3</v>
      </c>
      <c r="E18" s="75">
        <v>1.1659319091862399E-2</v>
      </c>
      <c r="F18" s="75">
        <v>1.1659319091862399E-2</v>
      </c>
    </row>
    <row r="19" spans="1:8" ht="15.75" customHeight="1" x14ac:dyDescent="0.25">
      <c r="B19" s="24" t="s">
        <v>20</v>
      </c>
      <c r="C19" s="75">
        <v>3.86106337442561E-2</v>
      </c>
      <c r="D19" s="75">
        <v>3.86106337442561E-2</v>
      </c>
      <c r="E19" s="75">
        <v>4.7607131705568101E-2</v>
      </c>
      <c r="F19" s="75">
        <v>4.7607131705568101E-2</v>
      </c>
    </row>
    <row r="20" spans="1:8" ht="15.75" customHeight="1" x14ac:dyDescent="0.25">
      <c r="B20" s="24" t="s">
        <v>21</v>
      </c>
      <c r="C20" s="75">
        <v>1.3701183017102901E-2</v>
      </c>
      <c r="D20" s="75">
        <v>1.3701183017102901E-2</v>
      </c>
      <c r="E20" s="75">
        <v>6.5575922262131802E-3</v>
      </c>
      <c r="F20" s="75">
        <v>6.5575922262131802E-3</v>
      </c>
    </row>
    <row r="21" spans="1:8" ht="15.75" customHeight="1" x14ac:dyDescent="0.25">
      <c r="B21" s="24" t="s">
        <v>22</v>
      </c>
      <c r="C21" s="75">
        <v>5.3707944847401101E-2</v>
      </c>
      <c r="D21" s="75">
        <v>5.3707944847401101E-2</v>
      </c>
      <c r="E21" s="75">
        <v>0.146397884042299</v>
      </c>
      <c r="F21" s="75">
        <v>0.146397884042299</v>
      </c>
    </row>
    <row r="22" spans="1:8" ht="15.75" customHeight="1" x14ac:dyDescent="0.25">
      <c r="B22" s="24" t="s">
        <v>23</v>
      </c>
      <c r="C22" s="75">
        <v>0.49719672588454222</v>
      </c>
      <c r="D22" s="75">
        <v>0.49719672588454222</v>
      </c>
      <c r="E22" s="75">
        <v>0.41295990658648429</v>
      </c>
      <c r="F22" s="75">
        <v>0.41295990658648429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4.7899999999999998E-2</v>
      </c>
    </row>
    <row r="27" spans="1:8" ht="15.75" customHeight="1" x14ac:dyDescent="0.25">
      <c r="B27" s="24" t="s">
        <v>39</v>
      </c>
      <c r="C27" s="75">
        <v>1.8200000000000001E-2</v>
      </c>
    </row>
    <row r="28" spans="1:8" ht="15.75" customHeight="1" x14ac:dyDescent="0.25">
      <c r="B28" s="24" t="s">
        <v>40</v>
      </c>
      <c r="C28" s="75">
        <v>0.22969999999999999</v>
      </c>
    </row>
    <row r="29" spans="1:8" ht="15.75" customHeight="1" x14ac:dyDescent="0.25">
      <c r="B29" s="24" t="s">
        <v>41</v>
      </c>
      <c r="C29" s="75">
        <v>0.13800000000000001</v>
      </c>
    </row>
    <row r="30" spans="1:8" ht="15.75" customHeight="1" x14ac:dyDescent="0.25">
      <c r="B30" s="24" t="s">
        <v>42</v>
      </c>
      <c r="C30" s="75">
        <v>0.05</v>
      </c>
    </row>
    <row r="31" spans="1:8" ht="15.75" customHeight="1" x14ac:dyDescent="0.25">
      <c r="B31" s="24" t="s">
        <v>43</v>
      </c>
      <c r="C31" s="75">
        <v>7.0400000000000004E-2</v>
      </c>
    </row>
    <row r="32" spans="1:8" ht="15.75" customHeight="1" x14ac:dyDescent="0.25">
      <c r="B32" s="24" t="s">
        <v>44</v>
      </c>
      <c r="C32" s="75">
        <v>0.14730000000000001</v>
      </c>
    </row>
    <row r="33" spans="2:3" ht="15.75" customHeight="1" x14ac:dyDescent="0.25">
      <c r="B33" s="24" t="s">
        <v>45</v>
      </c>
      <c r="C33" s="75">
        <v>0.124</v>
      </c>
    </row>
    <row r="34" spans="2:3" ht="15.75" customHeight="1" x14ac:dyDescent="0.25">
      <c r="B34" s="24" t="s">
        <v>46</v>
      </c>
      <c r="C34" s="75">
        <v>0.17449999999776483</v>
      </c>
    </row>
    <row r="35" spans="2:3" ht="15.75" customHeight="1" x14ac:dyDescent="0.25">
      <c r="B35" s="32" t="s">
        <v>129</v>
      </c>
      <c r="C35" s="70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0.46725885358974367</v>
      </c>
      <c r="D2" s="76">
        <v>0.46725885358974367</v>
      </c>
      <c r="E2" s="76">
        <v>0.42592531039591314</v>
      </c>
      <c r="F2" s="76">
        <v>0.258350254624374</v>
      </c>
      <c r="G2" s="76">
        <v>0.23166328909090911</v>
      </c>
    </row>
    <row r="3" spans="1:15" ht="15.75" customHeight="1" x14ac:dyDescent="0.25">
      <c r="A3" s="5"/>
      <c r="B3" s="11" t="s">
        <v>118</v>
      </c>
      <c r="C3" s="76">
        <v>0.16948823641025643</v>
      </c>
      <c r="D3" s="76">
        <v>0.16948823641025643</v>
      </c>
      <c r="E3" s="76">
        <v>0.19396226960408686</v>
      </c>
      <c r="F3" s="76">
        <v>0.22224540537562601</v>
      </c>
      <c r="G3" s="76">
        <v>0.2402434109090909</v>
      </c>
    </row>
    <row r="4" spans="1:15" ht="15.75" customHeight="1" x14ac:dyDescent="0.25">
      <c r="A4" s="5"/>
      <c r="B4" s="11" t="s">
        <v>116</v>
      </c>
      <c r="C4" s="77">
        <v>0.21674759270718238</v>
      </c>
      <c r="D4" s="77">
        <v>0.21674759270718238</v>
      </c>
      <c r="E4" s="77">
        <v>0.23822713880184332</v>
      </c>
      <c r="F4" s="77">
        <v>0.29920798638403989</v>
      </c>
      <c r="G4" s="77">
        <v>0.30210215388026607</v>
      </c>
    </row>
    <row r="5" spans="1:15" ht="15.75" customHeight="1" x14ac:dyDescent="0.25">
      <c r="A5" s="5"/>
      <c r="B5" s="11" t="s">
        <v>119</v>
      </c>
      <c r="C5" s="77">
        <v>0.14650531729281768</v>
      </c>
      <c r="D5" s="77">
        <v>0.14650531729281768</v>
      </c>
      <c r="E5" s="77">
        <v>0.14188528119815666</v>
      </c>
      <c r="F5" s="77">
        <v>0.22019635361596013</v>
      </c>
      <c r="G5" s="77">
        <v>0.22599114611973392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0.61886521754982415</v>
      </c>
      <c r="D8" s="76">
        <v>0.61886521754982415</v>
      </c>
      <c r="E8" s="76">
        <v>0.61980966756097566</v>
      </c>
      <c r="F8" s="76">
        <v>0.60056040542626732</v>
      </c>
      <c r="G8" s="76">
        <v>0.65781882908891331</v>
      </c>
    </row>
    <row r="9" spans="1:15" ht="15.75" customHeight="1" x14ac:dyDescent="0.25">
      <c r="B9" s="7" t="s">
        <v>121</v>
      </c>
      <c r="C9" s="76">
        <v>0.17976115245017585</v>
      </c>
      <c r="D9" s="76">
        <v>0.17976115245017585</v>
      </c>
      <c r="E9" s="76">
        <v>0.19993860243902442</v>
      </c>
      <c r="F9" s="76">
        <v>0.2229568645737327</v>
      </c>
      <c r="G9" s="76">
        <v>0.2299929535777534</v>
      </c>
    </row>
    <row r="10" spans="1:15" ht="15.75" customHeight="1" x14ac:dyDescent="0.25">
      <c r="B10" s="7" t="s">
        <v>122</v>
      </c>
      <c r="C10" s="77">
        <v>8.9206730000000012E-2</v>
      </c>
      <c r="D10" s="77">
        <v>8.9206730000000012E-2</v>
      </c>
      <c r="E10" s="77">
        <v>8.5349280999999985E-2</v>
      </c>
      <c r="F10" s="77">
        <v>9.1237092000000006E-2</v>
      </c>
      <c r="G10" s="77">
        <v>6.7120737E-2</v>
      </c>
    </row>
    <row r="11" spans="1:15" ht="15.75" customHeight="1" x14ac:dyDescent="0.25">
      <c r="B11" s="7" t="s">
        <v>123</v>
      </c>
      <c r="C11" s="77">
        <v>0.1121669</v>
      </c>
      <c r="D11" s="77">
        <v>0.1121669</v>
      </c>
      <c r="E11" s="77">
        <v>9.4902449E-2</v>
      </c>
      <c r="F11" s="77">
        <v>8.5245637999999999E-2</v>
      </c>
      <c r="G11" s="77">
        <v>4.5067480333333333E-2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0.77228757749999999</v>
      </c>
      <c r="D14" s="78">
        <v>0.74513917951399999</v>
      </c>
      <c r="E14" s="78">
        <v>0.74513917951399999</v>
      </c>
      <c r="F14" s="78">
        <v>0.494011782678</v>
      </c>
      <c r="G14" s="78">
        <v>0.494011782678</v>
      </c>
      <c r="H14" s="79">
        <v>0.44799999999999995</v>
      </c>
      <c r="I14" s="79">
        <v>0.44799999999999995</v>
      </c>
      <c r="J14" s="79">
        <v>0.44799999999999995</v>
      </c>
      <c r="K14" s="79">
        <v>0.44799999999999995</v>
      </c>
      <c r="L14" s="79">
        <v>0.27878147048700003</v>
      </c>
      <c r="M14" s="79">
        <v>0.34379116114500002</v>
      </c>
      <c r="N14" s="79">
        <v>0.29680106730599998</v>
      </c>
      <c r="O14" s="79">
        <v>0.33379267299199999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0.37324852853047191</v>
      </c>
      <c r="D15" s="76">
        <f t="shared" si="0"/>
        <v>0.36012763950486265</v>
      </c>
      <c r="E15" s="76">
        <f t="shared" si="0"/>
        <v>0.36012763950486265</v>
      </c>
      <c r="F15" s="76">
        <f t="shared" si="0"/>
        <v>0.23875713702164111</v>
      </c>
      <c r="G15" s="76">
        <f t="shared" si="0"/>
        <v>0.23875713702164111</v>
      </c>
      <c r="H15" s="76">
        <f t="shared" si="0"/>
        <v>0.21651952673245142</v>
      </c>
      <c r="I15" s="76">
        <f t="shared" si="0"/>
        <v>0.21651952673245142</v>
      </c>
      <c r="J15" s="76">
        <f t="shared" si="0"/>
        <v>0.21651952673245142</v>
      </c>
      <c r="K15" s="76">
        <f t="shared" si="0"/>
        <v>0.21651952673245142</v>
      </c>
      <c r="L15" s="76">
        <f t="shared" si="0"/>
        <v>0.13473578582951368</v>
      </c>
      <c r="M15" s="76">
        <f t="shared" si="0"/>
        <v>0.16615513282570393</v>
      </c>
      <c r="N15" s="76">
        <f t="shared" si="0"/>
        <v>0.14344470229192319</v>
      </c>
      <c r="O15" s="76">
        <f t="shared" si="0"/>
        <v>0.16132283835488342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0.61899999999999999</v>
      </c>
      <c r="D2" s="77">
        <v>0.42299999999999999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0.159</v>
      </c>
      <c r="D3" s="77">
        <v>0.19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0.18899999999999997</v>
      </c>
      <c r="D4" s="77">
        <v>0.33600000000000002</v>
      </c>
      <c r="E4" s="77">
        <v>0.8909999999999999</v>
      </c>
      <c r="F4" s="77">
        <v>0.71700000000000008</v>
      </c>
      <c r="G4" s="77">
        <v>0</v>
      </c>
    </row>
    <row r="5" spans="1:7" x14ac:dyDescent="0.25">
      <c r="B5" s="43" t="s">
        <v>169</v>
      </c>
      <c r="C5" s="76">
        <f>1-SUM(C2:C4)</f>
        <v>3.3000000000000029E-2</v>
      </c>
      <c r="D5" s="76">
        <f t="shared" ref="D5:G5" si="0">1-SUM(D2:D4)</f>
        <v>5.0999999999999934E-2</v>
      </c>
      <c r="E5" s="76">
        <f t="shared" si="0"/>
        <v>0.1090000000000001</v>
      </c>
      <c r="F5" s="76">
        <f t="shared" si="0"/>
        <v>0.28299999999999992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0.41631000000000001</v>
      </c>
      <c r="D2" s="28">
        <v>0.41003000000000001</v>
      </c>
      <c r="E2" s="28">
        <v>0.40348000000000001</v>
      </c>
      <c r="F2" s="28">
        <v>0.39700000000000002</v>
      </c>
      <c r="G2" s="28">
        <v>0.39058999999999999</v>
      </c>
      <c r="H2" s="28">
        <v>0.38427</v>
      </c>
      <c r="I2" s="28">
        <v>0.37802999999999998</v>
      </c>
      <c r="J2" s="28">
        <v>0.37186999999999998</v>
      </c>
      <c r="K2" s="28">
        <v>0.36579</v>
      </c>
      <c r="L2" s="28">
        <v>0.35979999999999995</v>
      </c>
      <c r="M2" s="28">
        <v>0.35389999999999999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0.11062</v>
      </c>
      <c r="D4" s="28">
        <v>0.10829000000000001</v>
      </c>
      <c r="E4" s="28">
        <v>0.10625</v>
      </c>
      <c r="F4" s="28">
        <v>0.10427</v>
      </c>
      <c r="G4" s="28">
        <v>0.10237</v>
      </c>
      <c r="H4" s="28">
        <v>0.10053000000000001</v>
      </c>
      <c r="I4" s="28">
        <v>9.8760000000000001E-2</v>
      </c>
      <c r="J4" s="28">
        <v>9.7049999999999997E-2</v>
      </c>
      <c r="K4" s="28">
        <v>9.5399999999999985E-2</v>
      </c>
      <c r="L4" s="28">
        <v>9.3810000000000004E-2</v>
      </c>
      <c r="M4" s="28">
        <v>9.2270000000000005E-2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0.26324991900204553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0.21651952673245142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0.15379730468207642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0.45566666666666666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0.77500000000000002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47.430999999999997</v>
      </c>
      <c r="D13" s="28">
        <v>45.963999999999999</v>
      </c>
      <c r="E13" s="28">
        <v>44.579000000000001</v>
      </c>
      <c r="F13" s="28">
        <v>43.311</v>
      </c>
      <c r="G13" s="28">
        <v>42.109000000000002</v>
      </c>
      <c r="H13" s="28">
        <v>40.945999999999998</v>
      </c>
      <c r="I13" s="28">
        <v>39.86</v>
      </c>
      <c r="J13" s="28">
        <v>38.896000000000001</v>
      </c>
      <c r="K13" s="28">
        <v>37.817</v>
      </c>
      <c r="L13" s="28">
        <v>36.886000000000003</v>
      </c>
      <c r="M13" s="28">
        <v>36.009</v>
      </c>
    </row>
    <row r="14" spans="1:13" x14ac:dyDescent="0.25">
      <c r="B14" s="16" t="s">
        <v>170</v>
      </c>
      <c r="C14" s="28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47.543631948570813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44.919838190254588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250.00911159604749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0.45726456517724007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1.3636766164030325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1.3636766164030325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1.3636766164030325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1.3636766164030325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14.44490005937495</v>
      </c>
      <c r="E14" s="82" t="s">
        <v>201</v>
      </c>
    </row>
    <row r="15" spans="1:5" ht="15.75" customHeight="1" x14ac:dyDescent="0.25">
      <c r="A15" s="11" t="s">
        <v>207</v>
      </c>
      <c r="B15" s="81">
        <v>0</v>
      </c>
      <c r="C15" s="81">
        <v>0.95</v>
      </c>
      <c r="D15" s="82">
        <v>14.44490005937495</v>
      </c>
      <c r="E15" s="82" t="s">
        <v>201</v>
      </c>
    </row>
    <row r="16" spans="1:5" ht="15.75" customHeight="1" x14ac:dyDescent="0.25">
      <c r="A16" s="52" t="s">
        <v>57</v>
      </c>
      <c r="B16" s="81">
        <v>0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0.50118534166365525</v>
      </c>
      <c r="E17" s="82" t="s">
        <v>201</v>
      </c>
    </row>
    <row r="18" spans="1:5" ht="15.9" customHeight="1" x14ac:dyDescent="0.25">
      <c r="A18" s="52" t="s">
        <v>173</v>
      </c>
      <c r="B18" s="81">
        <v>0.57100000000000006</v>
      </c>
      <c r="C18" s="81">
        <v>0.95</v>
      </c>
      <c r="D18" s="82">
        <v>5.8130849373349918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6.2567341056259025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24.762499177403289</v>
      </c>
      <c r="E22" s="82" t="s">
        <v>201</v>
      </c>
    </row>
    <row r="23" spans="1:5" ht="15.75" customHeight="1" x14ac:dyDescent="0.25">
      <c r="A23" s="52" t="s">
        <v>34</v>
      </c>
      <c r="B23" s="81">
        <v>0.32899999999999996</v>
      </c>
      <c r="C23" s="81">
        <v>0.95</v>
      </c>
      <c r="D23" s="82">
        <v>4.8184289348295932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20.750267835872506</v>
      </c>
      <c r="E24" s="82" t="s">
        <v>201</v>
      </c>
    </row>
    <row r="25" spans="1:5" ht="15.75" customHeight="1" x14ac:dyDescent="0.25">
      <c r="A25" s="52" t="s">
        <v>87</v>
      </c>
      <c r="B25" s="81">
        <v>6.0000000000000001E-3</v>
      </c>
      <c r="C25" s="81">
        <v>0.95</v>
      </c>
      <c r="D25" s="82">
        <v>20.623780957856731</v>
      </c>
      <c r="E25" s="82" t="s">
        <v>201</v>
      </c>
    </row>
    <row r="26" spans="1:5" ht="15.75" customHeight="1" x14ac:dyDescent="0.25">
      <c r="A26" s="52" t="s">
        <v>137</v>
      </c>
      <c r="B26" s="81">
        <v>0</v>
      </c>
      <c r="C26" s="81">
        <v>0.95</v>
      </c>
      <c r="D26" s="82">
        <v>5.2125388670276775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5.7163722128864363</v>
      </c>
      <c r="E27" s="82" t="s">
        <v>201</v>
      </c>
    </row>
    <row r="28" spans="1:5" ht="15.75" customHeight="1" x14ac:dyDescent="0.25">
      <c r="A28" s="52" t="s">
        <v>84</v>
      </c>
      <c r="B28" s="81">
        <v>0.08</v>
      </c>
      <c r="C28" s="81">
        <v>0.95</v>
      </c>
      <c r="D28" s="82">
        <v>0.79838464493118688</v>
      </c>
      <c r="E28" s="82" t="s">
        <v>201</v>
      </c>
    </row>
    <row r="29" spans="1:5" ht="15.75" customHeight="1" x14ac:dyDescent="0.25">
      <c r="A29" s="52" t="s">
        <v>58</v>
      </c>
      <c r="B29" s="81">
        <v>0.57100000000000006</v>
      </c>
      <c r="C29" s="81">
        <v>0.95</v>
      </c>
      <c r="D29" s="82">
        <v>89.715813228316819</v>
      </c>
      <c r="E29" s="82" t="s">
        <v>201</v>
      </c>
    </row>
    <row r="30" spans="1:5" ht="15.75" customHeight="1" x14ac:dyDescent="0.25">
      <c r="A30" s="52" t="s">
        <v>67</v>
      </c>
      <c r="B30" s="81">
        <v>1.7000000000000001E-2</v>
      </c>
      <c r="C30" s="81">
        <v>0.95</v>
      </c>
      <c r="D30" s="82">
        <v>341.30459954109284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341.30459954109284</v>
      </c>
      <c r="E31" s="82" t="s">
        <v>201</v>
      </c>
    </row>
    <row r="32" spans="1:5" ht="15.75" customHeight="1" x14ac:dyDescent="0.25">
      <c r="A32" s="52" t="s">
        <v>28</v>
      </c>
      <c r="B32" s="81">
        <v>0.15</v>
      </c>
      <c r="C32" s="81">
        <v>0.95</v>
      </c>
      <c r="D32" s="82">
        <v>1.0438007378265179</v>
      </c>
      <c r="E32" s="82" t="s">
        <v>201</v>
      </c>
    </row>
    <row r="33" spans="1:6" ht="15.75" customHeight="1" x14ac:dyDescent="0.25">
      <c r="A33" s="52" t="s">
        <v>83</v>
      </c>
      <c r="B33" s="81">
        <v>0.17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0.18899999999999997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0.4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9.5000000000000001E-2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0</v>
      </c>
      <c r="C38" s="81">
        <v>0.95</v>
      </c>
      <c r="D38" s="82">
        <v>2.0730239624846085</v>
      </c>
      <c r="E38" s="82" t="s">
        <v>201</v>
      </c>
    </row>
    <row r="39" spans="1:6" ht="15.75" customHeight="1" x14ac:dyDescent="0.25">
      <c r="A39" s="52" t="s">
        <v>60</v>
      </c>
      <c r="B39" s="81">
        <v>0</v>
      </c>
      <c r="C39" s="81">
        <v>0.95</v>
      </c>
      <c r="D39" s="82">
        <v>1.0677556149504945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2020-06-17T04:29:39Z</dcterms:modified>
</cp:coreProperties>
</file>