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BEBF1FF8-B173-43F8-8289-98F031872263}" xr6:coauthVersionLast="45" xr6:coauthVersionMax="45" xr10:uidLastSave="{00000000-0000-0000-0000-000000000000}"/>
  <bookViews>
    <workbookView xWindow="-108" yWindow="-10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1" l="1"/>
  <c r="C11" i="51" l="1"/>
  <c r="C10" i="51"/>
  <c r="L1" i="51" l="1"/>
  <c r="M1" i="51"/>
  <c r="E1" i="51"/>
  <c r="F1" i="51" s="1"/>
  <c r="G1" i="51" s="1"/>
  <c r="H1" i="51" s="1"/>
  <c r="I1" i="51" s="1"/>
  <c r="J1" i="51" s="1"/>
  <c r="K1" i="51" s="1"/>
  <c r="D1" i="5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A2" i="2"/>
  <c r="A22" i="2" s="1"/>
  <c r="A34" i="2"/>
  <c r="A15" i="2"/>
  <c r="A37" i="2"/>
  <c r="A32" i="2"/>
  <c r="A28" i="2"/>
  <c r="A19" i="2"/>
  <c r="G16" i="2"/>
  <c r="H16" i="2"/>
  <c r="I16" i="2" s="1"/>
  <c r="G17" i="2"/>
  <c r="H17" i="2"/>
  <c r="G18" i="2"/>
  <c r="H18" i="2"/>
  <c r="G19" i="2"/>
  <c r="H19" i="2"/>
  <c r="I19" i="2" s="1"/>
  <c r="G20" i="2"/>
  <c r="H20" i="2"/>
  <c r="G21" i="2"/>
  <c r="H21" i="2"/>
  <c r="G22" i="2"/>
  <c r="H22" i="2"/>
  <c r="G23" i="2"/>
  <c r="H23" i="2"/>
  <c r="I23" i="2"/>
  <c r="G24" i="2"/>
  <c r="H24" i="2"/>
  <c r="G25" i="2"/>
  <c r="H25" i="2"/>
  <c r="I25" i="2" s="1"/>
  <c r="G26" i="2"/>
  <c r="H26" i="2"/>
  <c r="I26" i="2" s="1"/>
  <c r="G27" i="2"/>
  <c r="H27" i="2"/>
  <c r="I27" i="2" s="1"/>
  <c r="G28" i="2"/>
  <c r="H28" i="2"/>
  <c r="G29" i="2"/>
  <c r="H29" i="2"/>
  <c r="I29" i="2" s="1"/>
  <c r="G30" i="2"/>
  <c r="H30" i="2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G37" i="2"/>
  <c r="H37" i="2"/>
  <c r="I37" i="2" s="1"/>
  <c r="G38" i="2"/>
  <c r="H38" i="2"/>
  <c r="I38" i="2" s="1"/>
  <c r="G39" i="2"/>
  <c r="H39" i="2"/>
  <c r="I39" i="2" s="1"/>
  <c r="G40" i="2"/>
  <c r="H40" i="2"/>
  <c r="I24" i="2"/>
  <c r="I17" i="2"/>
  <c r="I40" i="2"/>
  <c r="I20" i="2"/>
  <c r="I21" i="2"/>
  <c r="I22" i="2"/>
  <c r="I30" i="2"/>
  <c r="I36" i="2"/>
  <c r="I28" i="2"/>
  <c r="I1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C7" i="51" s="1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I8" i="2" s="1"/>
  <c r="H9" i="2"/>
  <c r="H10" i="2"/>
  <c r="H11" i="2"/>
  <c r="H12" i="2"/>
  <c r="H13" i="2"/>
  <c r="H14" i="2"/>
  <c r="H15" i="2"/>
  <c r="C20" i="1"/>
  <c r="G3" i="2"/>
  <c r="G4" i="2"/>
  <c r="I4" i="2" s="1"/>
  <c r="G5" i="2"/>
  <c r="G6" i="2"/>
  <c r="G7" i="2"/>
  <c r="G8" i="2"/>
  <c r="G9" i="2"/>
  <c r="G10" i="2"/>
  <c r="I10" i="2" s="1"/>
  <c r="G11" i="2"/>
  <c r="I11" i="2" s="1"/>
  <c r="G12" i="2"/>
  <c r="I12" i="2" s="1"/>
  <c r="G13" i="2"/>
  <c r="I13" i="2" s="1"/>
  <c r="G14" i="2"/>
  <c r="G15" i="2"/>
  <c r="G2" i="2"/>
  <c r="I2" i="2" s="1"/>
  <c r="A23" i="2" l="1"/>
  <c r="A36" i="2"/>
  <c r="A14" i="2"/>
  <c r="A27" i="2"/>
  <c r="A40" i="2"/>
  <c r="A30" i="2"/>
  <c r="A31" i="2"/>
  <c r="A17" i="2"/>
  <c r="A38" i="2"/>
  <c r="I6" i="2"/>
  <c r="C6" i="51"/>
  <c r="A35" i="2"/>
  <c r="A21" i="2"/>
  <c r="A16" i="2"/>
  <c r="I5" i="2"/>
  <c r="I3" i="2"/>
  <c r="C8" i="51"/>
  <c r="A39" i="2"/>
  <c r="A25" i="2"/>
  <c r="A18" i="2"/>
  <c r="A20" i="2"/>
  <c r="A33" i="2"/>
  <c r="A26" i="2"/>
  <c r="I9" i="2"/>
  <c r="I15" i="2"/>
  <c r="I7" i="2"/>
  <c r="I14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<sst xmlns="http://schemas.openxmlformats.org/spreadsheetml/2006/main" count="1097" uniqueCount="272">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</sst>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4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100</v>
      </c>
      <c r="B1" s="41" t="s">
        <v>164</v>
      </c>
      <c r="C1" s="41" t="s">
        <v>165</v>
      </c>
    </row>
    <row r="2" spans="1:3" ht="15.9" customHeight="1" x14ac:dyDescent="0.25">
      <c r="A2" s="12" t="s">
        <v>191</v>
      </c>
      <c r="B2" s="41"/>
      <c r="C2" s="41"/>
    </row>
    <row r="3" spans="1:3" ht="15.9" customHeight="1" x14ac:dyDescent="0.25">
      <c r="A3" s="1"/>
      <c r="B3" s="7" t="s">
        <v>193</v>
      </c>
      <c r="C3" s="63">
        <v>2020</v>
      </c>
    </row>
    <row r="4" spans="1:3" ht="15.9" customHeight="1" x14ac:dyDescent="0.25">
      <c r="A4" s="1"/>
      <c r="B4" s="9" t="s">
        <v>192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65">
        <v>1979354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0.45275009155273405</v>
      </c>
    </row>
    <row r="11" spans="1:3" ht="15" customHeight="1" x14ac:dyDescent="0.25">
      <c r="B11" s="7" t="s">
        <v>108</v>
      </c>
      <c r="C11" s="66">
        <v>0.63700000000000001</v>
      </c>
    </row>
    <row r="12" spans="1:3" ht="15" customHeight="1" x14ac:dyDescent="0.25">
      <c r="B12" s="7" t="s">
        <v>109</v>
      </c>
      <c r="C12" s="66">
        <v>0.77</v>
      </c>
    </row>
    <row r="13" spans="1:3" ht="15" customHeight="1" x14ac:dyDescent="0.25">
      <c r="B13" s="7" t="s">
        <v>110</v>
      </c>
      <c r="C13" s="66">
        <v>0.46700000000000003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7.3499999999999996E-2</v>
      </c>
    </row>
    <row r="24" spans="1:3" ht="15" customHeight="1" x14ac:dyDescent="0.25">
      <c r="B24" s="20" t="s">
        <v>102</v>
      </c>
      <c r="C24" s="67">
        <v>0.48159999999999997</v>
      </c>
    </row>
    <row r="25" spans="1:3" ht="15" customHeight="1" x14ac:dyDescent="0.25">
      <c r="B25" s="20" t="s">
        <v>103</v>
      </c>
      <c r="C25" s="67">
        <v>0.38009999999999999</v>
      </c>
    </row>
    <row r="26" spans="1:3" ht="15" customHeight="1" x14ac:dyDescent="0.25">
      <c r="B26" s="20" t="s">
        <v>104</v>
      </c>
      <c r="C26" s="67">
        <v>6.480000000000001E-2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70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8.6999999999999993</v>
      </c>
    </row>
    <row r="38" spans="1:5" ht="15" customHeight="1" x14ac:dyDescent="0.25">
      <c r="B38" s="16" t="s">
        <v>91</v>
      </c>
      <c r="C38" s="71">
        <v>14</v>
      </c>
      <c r="D38" s="17"/>
      <c r="E38" s="18"/>
    </row>
    <row r="39" spans="1:5" ht="15" customHeight="1" x14ac:dyDescent="0.25">
      <c r="B39" s="16" t="s">
        <v>90</v>
      </c>
      <c r="C39" s="71">
        <v>17</v>
      </c>
      <c r="D39" s="17"/>
      <c r="E39" s="17"/>
    </row>
    <row r="40" spans="1:5" ht="15" customHeight="1" x14ac:dyDescent="0.25">
      <c r="B40" s="16" t="s">
        <v>171</v>
      </c>
      <c r="C40" s="71">
        <v>0.32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11.1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2.4199999999999999E-2</v>
      </c>
      <c r="D45" s="17"/>
    </row>
    <row r="46" spans="1:5" ht="15.75" customHeight="1" x14ac:dyDescent="0.25">
      <c r="B46" s="16" t="s">
        <v>11</v>
      </c>
      <c r="C46" s="67">
        <v>8.4399999999999989E-2</v>
      </c>
      <c r="D46" s="17"/>
    </row>
    <row r="47" spans="1:5" ht="15.75" customHeight="1" x14ac:dyDescent="0.25">
      <c r="B47" s="16" t="s">
        <v>12</v>
      </c>
      <c r="C47" s="67">
        <v>0.16620000000000001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0.72519999999999996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1.6216072014575</v>
      </c>
      <c r="D51" s="17"/>
    </row>
    <row r="52" spans="1:4" ht="15" customHeight="1" x14ac:dyDescent="0.25">
      <c r="B52" s="16" t="s">
        <v>125</v>
      </c>
      <c r="C52" s="72">
        <v>1.6756519305399999</v>
      </c>
    </row>
    <row r="53" spans="1:4" ht="15.75" customHeight="1" x14ac:dyDescent="0.25">
      <c r="B53" s="16" t="s">
        <v>126</v>
      </c>
      <c r="C53" s="72">
        <v>1.6756519305399999</v>
      </c>
    </row>
    <row r="54" spans="1:4" ht="15.75" customHeight="1" x14ac:dyDescent="0.25">
      <c r="B54" s="16" t="s">
        <v>127</v>
      </c>
      <c r="C54" s="72">
        <v>1.50067733721</v>
      </c>
    </row>
    <row r="55" spans="1:4" ht="15.75" customHeight="1" x14ac:dyDescent="0.25">
      <c r="B55" s="16" t="s">
        <v>128</v>
      </c>
      <c r="C55" s="72">
        <v>1.50067733721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0.51273547416218423</v>
      </c>
    </row>
    <row r="60" spans="1:4" ht="15.75" customHeight="1" x14ac:dyDescent="0.25">
      <c r="B60" s="16" t="s">
        <v>269</v>
      </c>
      <c r="C60" s="66">
        <v>0.05</v>
      </c>
    </row>
    <row r="61" spans="1:4" ht="15.75" customHeight="1" x14ac:dyDescent="0.25">
      <c r="B61" s="16" t="s">
        <v>270</v>
      </c>
      <c r="C61" s="66">
        <v>0.01</v>
      </c>
    </row>
    <row r="63" spans="1:4" ht="15.75" customHeight="1" x14ac:dyDescent="0.25">
      <c r="A63" s="4"/>
    </row>
  </sheetData>
  <sheetProtection algorithmName="SHA-512" hashValue="6vBZiUpKF81G/we4/YZ98KetIv0SrNKtQefNuwvLhXejAdwetO4LiAsNak9JhiAk3T9oiMUputwflWPXg8CU+Q==" saltValue="y73DDGbNqaWLRrBT8qLb5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16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3">
        <v>379407.27600000001</v>
      </c>
      <c r="C2" s="74">
        <v>1138000</v>
      </c>
      <c r="D2" s="74">
        <v>1544000</v>
      </c>
      <c r="E2" s="74">
        <v>708000</v>
      </c>
      <c r="F2" s="74">
        <v>458000</v>
      </c>
      <c r="G2" s="22">
        <f t="shared" ref="G2:G40" si="0">C2+D2+E2+F2</f>
        <v>3848000</v>
      </c>
      <c r="H2" s="22">
        <f t="shared" ref="H2:H40" si="1">(B2 + stillbirth*B2/(1000-stillbirth))/(1-abortion)</f>
        <v>440995.36580177909</v>
      </c>
      <c r="I2" s="22">
        <f>G2-H2</f>
        <v>3407004.6341982209</v>
      </c>
    </row>
    <row r="3" spans="1:9" ht="15.75" customHeight="1" x14ac:dyDescent="0.25">
      <c r="A3" s="7">
        <f t="shared" ref="A3:A40" si="2">IF($A$2+ROW(A3)-2&lt;=end_year,A2+1,"")</f>
        <v>2021</v>
      </c>
      <c r="B3" s="73">
        <v>392421.17879999994</v>
      </c>
      <c r="C3" s="74">
        <v>1157000</v>
      </c>
      <c r="D3" s="74">
        <v>1676000</v>
      </c>
      <c r="E3" s="74">
        <v>732000</v>
      </c>
      <c r="F3" s="74">
        <v>471000</v>
      </c>
      <c r="G3" s="22">
        <f t="shared" si="0"/>
        <v>4036000</v>
      </c>
      <c r="H3" s="22">
        <f t="shared" si="1"/>
        <v>456121.77794205328</v>
      </c>
      <c r="I3" s="22">
        <f t="shared" ref="I3:I15" si="3">G3-H3</f>
        <v>3579878.222057947</v>
      </c>
    </row>
    <row r="4" spans="1:9" ht="15.75" customHeight="1" x14ac:dyDescent="0.25">
      <c r="A4" s="7">
        <f t="shared" si="2"/>
        <v>2022</v>
      </c>
      <c r="B4" s="73">
        <v>409782.53159999999</v>
      </c>
      <c r="C4" s="74">
        <v>1181000</v>
      </c>
      <c r="D4" s="74">
        <v>1816000</v>
      </c>
      <c r="E4" s="74">
        <v>754000</v>
      </c>
      <c r="F4" s="74">
        <v>485000</v>
      </c>
      <c r="G4" s="22">
        <f t="shared" si="0"/>
        <v>4236000</v>
      </c>
      <c r="H4" s="22">
        <f t="shared" si="1"/>
        <v>476301.3491130863</v>
      </c>
      <c r="I4" s="22">
        <f t="shared" si="3"/>
        <v>3759698.6508869138</v>
      </c>
    </row>
    <row r="5" spans="1:9" ht="15.75" customHeight="1" x14ac:dyDescent="0.25">
      <c r="A5" s="7">
        <f t="shared" si="2"/>
        <v>2023</v>
      </c>
      <c r="B5" s="73">
        <v>429701.86499999993</v>
      </c>
      <c r="C5" s="74">
        <v>1204000</v>
      </c>
      <c r="D5" s="74">
        <v>1952000</v>
      </c>
      <c r="E5" s="74">
        <v>771000</v>
      </c>
      <c r="F5" s="74">
        <v>500000</v>
      </c>
      <c r="G5" s="22">
        <f t="shared" si="0"/>
        <v>4427000</v>
      </c>
      <c r="H5" s="22">
        <f t="shared" si="1"/>
        <v>499454.13050376409</v>
      </c>
      <c r="I5" s="22">
        <f t="shared" si="3"/>
        <v>3927545.8694962361</v>
      </c>
    </row>
    <row r="6" spans="1:9" ht="15.75" customHeight="1" x14ac:dyDescent="0.25">
      <c r="A6" s="7">
        <f t="shared" si="2"/>
        <v>2024</v>
      </c>
      <c r="B6" s="73">
        <v>449674.5455999999</v>
      </c>
      <c r="C6" s="74">
        <v>1222000</v>
      </c>
      <c r="D6" s="74">
        <v>2069000</v>
      </c>
      <c r="E6" s="74">
        <v>785000</v>
      </c>
      <c r="F6" s="74">
        <v>519000</v>
      </c>
      <c r="G6" s="22">
        <f t="shared" si="0"/>
        <v>4595000</v>
      </c>
      <c r="H6" s="22">
        <f t="shared" si="1"/>
        <v>522668.91879169107</v>
      </c>
      <c r="I6" s="22">
        <f t="shared" si="3"/>
        <v>4072331.0812083092</v>
      </c>
    </row>
    <row r="7" spans="1:9" ht="15.75" customHeight="1" x14ac:dyDescent="0.25">
      <c r="A7" s="7">
        <f t="shared" si="2"/>
        <v>2025</v>
      </c>
      <c r="B7" s="73">
        <v>467822.01299999998</v>
      </c>
      <c r="C7" s="74">
        <v>1231000</v>
      </c>
      <c r="D7" s="74">
        <v>2158000</v>
      </c>
      <c r="E7" s="74">
        <v>794000</v>
      </c>
      <c r="F7" s="74">
        <v>542000</v>
      </c>
      <c r="G7" s="22">
        <f t="shared" si="0"/>
        <v>4725000</v>
      </c>
      <c r="H7" s="22">
        <f t="shared" si="1"/>
        <v>543762.21228045097</v>
      </c>
      <c r="I7" s="22">
        <f t="shared" si="3"/>
        <v>4181237.7877195491</v>
      </c>
    </row>
    <row r="8" spans="1:9" ht="15.75" customHeight="1" x14ac:dyDescent="0.25">
      <c r="A8" s="7">
        <f t="shared" si="2"/>
        <v>2026</v>
      </c>
      <c r="B8" s="73">
        <v>480535.56400000007</v>
      </c>
      <c r="C8" s="74">
        <v>1244000</v>
      </c>
      <c r="D8" s="74">
        <v>2241000</v>
      </c>
      <c r="E8" s="74">
        <v>801000</v>
      </c>
      <c r="F8" s="74">
        <v>568000</v>
      </c>
      <c r="G8" s="22">
        <f t="shared" si="0"/>
        <v>4854000</v>
      </c>
      <c r="H8" s="22">
        <f t="shared" si="1"/>
        <v>558539.51737853396</v>
      </c>
      <c r="I8" s="22">
        <f t="shared" si="3"/>
        <v>4295460.4826214658</v>
      </c>
    </row>
    <row r="9" spans="1:9" ht="15.75" customHeight="1" x14ac:dyDescent="0.25">
      <c r="A9" s="7">
        <f t="shared" si="2"/>
        <v>2027</v>
      </c>
      <c r="B9" s="73">
        <v>490941.87700000004</v>
      </c>
      <c r="C9" s="74">
        <v>1250000</v>
      </c>
      <c r="D9" s="74">
        <v>2302000</v>
      </c>
      <c r="E9" s="74">
        <v>803000</v>
      </c>
      <c r="F9" s="74">
        <v>598000</v>
      </c>
      <c r="G9" s="22">
        <f t="shared" si="0"/>
        <v>4953000</v>
      </c>
      <c r="H9" s="22">
        <f t="shared" si="1"/>
        <v>570635.05718068266</v>
      </c>
      <c r="I9" s="22">
        <f t="shared" si="3"/>
        <v>4382364.9428193178</v>
      </c>
    </row>
    <row r="10" spans="1:9" ht="15.75" customHeight="1" x14ac:dyDescent="0.25">
      <c r="A10" s="7">
        <f t="shared" si="2"/>
        <v>2028</v>
      </c>
      <c r="B10" s="73">
        <v>499456.12500000006</v>
      </c>
      <c r="C10" s="74">
        <v>1251000</v>
      </c>
      <c r="D10" s="74">
        <v>2347000</v>
      </c>
      <c r="E10" s="74">
        <v>803000</v>
      </c>
      <c r="F10" s="74">
        <v>630000</v>
      </c>
      <c r="G10" s="22">
        <f t="shared" si="0"/>
        <v>5031000</v>
      </c>
      <c r="H10" s="22">
        <f t="shared" si="1"/>
        <v>580531.39852361218</v>
      </c>
      <c r="I10" s="22">
        <f t="shared" si="3"/>
        <v>4450468.6014763881</v>
      </c>
    </row>
    <row r="11" spans="1:9" ht="15.75" customHeight="1" x14ac:dyDescent="0.25">
      <c r="A11" s="7">
        <f t="shared" si="2"/>
        <v>2029</v>
      </c>
      <c r="B11" s="73">
        <v>506833.04700000014</v>
      </c>
      <c r="C11" s="74">
        <v>1250000</v>
      </c>
      <c r="D11" s="74">
        <v>2379000</v>
      </c>
      <c r="E11" s="74">
        <v>799000</v>
      </c>
      <c r="F11" s="74">
        <v>661000</v>
      </c>
      <c r="G11" s="22">
        <f t="shared" si="0"/>
        <v>5089000</v>
      </c>
      <c r="H11" s="22">
        <f t="shared" si="1"/>
        <v>589105.79501431424</v>
      </c>
      <c r="I11" s="22">
        <f t="shared" si="3"/>
        <v>4499894.2049856856</v>
      </c>
    </row>
    <row r="12" spans="1:9" ht="15.75" customHeight="1" x14ac:dyDescent="0.25">
      <c r="A12" s="7">
        <f t="shared" si="2"/>
        <v>2030</v>
      </c>
      <c r="B12" s="73">
        <v>513614.22399999999</v>
      </c>
      <c r="C12" s="74">
        <v>1247000</v>
      </c>
      <c r="D12" s="74">
        <v>2404000</v>
      </c>
      <c r="E12" s="74">
        <v>795000</v>
      </c>
      <c r="F12" s="74">
        <v>687000</v>
      </c>
      <c r="G12" s="22">
        <f t="shared" si="0"/>
        <v>5133000</v>
      </c>
      <c r="H12" s="22">
        <f t="shared" si="1"/>
        <v>596987.74093588255</v>
      </c>
      <c r="I12" s="22">
        <f t="shared" si="3"/>
        <v>4536012.2590641174</v>
      </c>
    </row>
    <row r="13" spans="1:9" ht="15.75" customHeight="1" x14ac:dyDescent="0.25">
      <c r="A13" s="7" t="str">
        <f t="shared" si="2"/>
        <v/>
      </c>
      <c r="B13" s="73">
        <v>1099000</v>
      </c>
      <c r="C13" s="74">
        <v>1462000</v>
      </c>
      <c r="D13" s="74">
        <v>680000</v>
      </c>
      <c r="E13" s="74">
        <v>448000</v>
      </c>
      <c r="F13" s="74">
        <v>1.7691804999999999E-3</v>
      </c>
      <c r="G13" s="22">
        <f t="shared" si="0"/>
        <v>2590000.0017691804</v>
      </c>
      <c r="H13" s="22">
        <f t="shared" si="1"/>
        <v>1277397.5030888843</v>
      </c>
      <c r="I13" s="22">
        <f t="shared" si="3"/>
        <v>1312602.4986802961</v>
      </c>
    </row>
    <row r="14" spans="1:9" ht="15.75" customHeight="1" x14ac:dyDescent="0.25">
      <c r="A14" s="7" t="str">
        <f t="shared" si="2"/>
        <v/>
      </c>
      <c r="B14" s="73"/>
      <c r="C14" s="74"/>
      <c r="D14" s="74"/>
      <c r="E14" s="74"/>
      <c r="F14" s="74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3"/>
      <c r="C15" s="74"/>
      <c r="D15" s="74"/>
      <c r="E15" s="74"/>
      <c r="F15" s="74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6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1.7691804999999999E-3</v>
      </c>
    </row>
    <row r="4" spans="1:8" ht="15.75" customHeight="1" x14ac:dyDescent="0.25">
      <c r="B4" s="24" t="s">
        <v>7</v>
      </c>
      <c r="C4" s="75">
        <v>4.6332361769559051E-2</v>
      </c>
    </row>
    <row r="5" spans="1:8" ht="15.75" customHeight="1" x14ac:dyDescent="0.25">
      <c r="B5" s="24" t="s">
        <v>8</v>
      </c>
      <c r="C5" s="75">
        <v>1.5321639149382817E-2</v>
      </c>
    </row>
    <row r="6" spans="1:8" ht="15.75" customHeight="1" x14ac:dyDescent="0.25">
      <c r="B6" s="24" t="s">
        <v>10</v>
      </c>
      <c r="C6" s="75">
        <v>7.4830841750568172E-2</v>
      </c>
    </row>
    <row r="7" spans="1:8" ht="15.75" customHeight="1" x14ac:dyDescent="0.25">
      <c r="B7" s="24" t="s">
        <v>13</v>
      </c>
      <c r="C7" s="75">
        <v>0.175500160052669</v>
      </c>
    </row>
    <row r="8" spans="1:8" ht="15.75" customHeight="1" x14ac:dyDescent="0.25">
      <c r="B8" s="24" t="s">
        <v>14</v>
      </c>
      <c r="C8" s="75">
        <v>1.3664559693417789E-3</v>
      </c>
    </row>
    <row r="9" spans="1:8" ht="15.75" customHeight="1" x14ac:dyDescent="0.25">
      <c r="B9" s="24" t="s">
        <v>27</v>
      </c>
      <c r="C9" s="75">
        <v>0.24330503101745399</v>
      </c>
    </row>
    <row r="10" spans="1:8" ht="15.75" customHeight="1" x14ac:dyDescent="0.25">
      <c r="B10" s="24" t="s">
        <v>15</v>
      </c>
      <c r="C10" s="75">
        <v>0.44157432979102518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7.5479654260851804E-3</v>
      </c>
      <c r="D14" s="75">
        <v>7.5479654260851804E-3</v>
      </c>
      <c r="E14" s="75">
        <v>2.4632622148213299E-3</v>
      </c>
      <c r="F14" s="75">
        <v>2.4632622148213299E-3</v>
      </c>
    </row>
    <row r="15" spans="1:8" ht="15.75" customHeight="1" x14ac:dyDescent="0.25">
      <c r="B15" s="24" t="s">
        <v>16</v>
      </c>
      <c r="C15" s="75">
        <v>4.7890739480709002E-2</v>
      </c>
      <c r="D15" s="75">
        <v>4.7890739480709002E-2</v>
      </c>
      <c r="E15" s="75">
        <v>3.9430282207221001E-2</v>
      </c>
      <c r="F15" s="75">
        <v>3.9430282207221001E-2</v>
      </c>
    </row>
    <row r="16" spans="1:8" ht="15.75" customHeight="1" x14ac:dyDescent="0.25">
      <c r="B16" s="24" t="s">
        <v>17</v>
      </c>
      <c r="C16" s="75">
        <v>1.40952000058628E-2</v>
      </c>
      <c r="D16" s="75">
        <v>1.40952000058628E-2</v>
      </c>
      <c r="E16" s="75">
        <v>8.6368401479188506E-3</v>
      </c>
      <c r="F16" s="75">
        <v>8.6368401479188506E-3</v>
      </c>
    </row>
    <row r="17" spans="1:8" ht="15.75" customHeight="1" x14ac:dyDescent="0.25">
      <c r="B17" s="24" t="s">
        <v>18</v>
      </c>
      <c r="C17" s="75">
        <v>2.2616204500526101E-2</v>
      </c>
      <c r="D17" s="75">
        <v>2.2616204500526101E-2</v>
      </c>
      <c r="E17" s="75">
        <v>1.7341413752262801E-2</v>
      </c>
      <c r="F17" s="75">
        <v>1.7341413752262801E-2</v>
      </c>
    </row>
    <row r="18" spans="1:8" ht="15.75" customHeight="1" x14ac:dyDescent="0.25">
      <c r="B18" s="24" t="s">
        <v>19</v>
      </c>
      <c r="C18" s="75">
        <v>0</v>
      </c>
      <c r="D18" s="75">
        <v>0</v>
      </c>
      <c r="E18" s="75">
        <v>0</v>
      </c>
      <c r="F18" s="75">
        <v>0</v>
      </c>
    </row>
    <row r="19" spans="1:8" ht="15.75" customHeight="1" x14ac:dyDescent="0.25">
      <c r="B19" s="24" t="s">
        <v>20</v>
      </c>
      <c r="C19" s="75">
        <v>0.136302689920905</v>
      </c>
      <c r="D19" s="75">
        <v>0.136302689920905</v>
      </c>
      <c r="E19" s="75">
        <v>4.5199245380695793E-2</v>
      </c>
      <c r="F19" s="75">
        <v>4.5199245380695793E-2</v>
      </c>
    </row>
    <row r="20" spans="1:8" ht="15.75" customHeight="1" x14ac:dyDescent="0.25">
      <c r="B20" s="24" t="s">
        <v>21</v>
      </c>
      <c r="C20" s="75">
        <v>2.3209607592064799E-4</v>
      </c>
      <c r="D20" s="75">
        <v>2.3209607592064799E-4</v>
      </c>
      <c r="E20" s="75">
        <v>3.1424192836378102E-4</v>
      </c>
      <c r="F20" s="75">
        <v>3.1424192836378102E-4</v>
      </c>
    </row>
    <row r="21" spans="1:8" ht="15.75" customHeight="1" x14ac:dyDescent="0.25">
      <c r="B21" s="24" t="s">
        <v>22</v>
      </c>
      <c r="C21" s="75">
        <v>0.332673260324229</v>
      </c>
      <c r="D21" s="75">
        <v>0.332673260324229</v>
      </c>
      <c r="E21" s="75">
        <v>0.76124160018489595</v>
      </c>
      <c r="F21" s="75">
        <v>0.76124160018489595</v>
      </c>
    </row>
    <row r="22" spans="1:8" ht="15.75" customHeight="1" x14ac:dyDescent="0.25">
      <c r="B22" s="24" t="s">
        <v>23</v>
      </c>
      <c r="C22" s="75">
        <v>0.43864184426576225</v>
      </c>
      <c r="D22" s="75">
        <v>0.43864184426576225</v>
      </c>
      <c r="E22" s="75">
        <v>0.12537311418382047</v>
      </c>
      <c r="F22" s="75">
        <v>0.12537311418382047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0.14119999999999999</v>
      </c>
    </row>
    <row r="27" spans="1:8" ht="15.75" customHeight="1" x14ac:dyDescent="0.25">
      <c r="B27" s="24" t="s">
        <v>39</v>
      </c>
      <c r="C27" s="75">
        <v>1.0800000000000001E-2</v>
      </c>
    </row>
    <row r="28" spans="1:8" ht="15.75" customHeight="1" x14ac:dyDescent="0.25">
      <c r="B28" s="24" t="s">
        <v>40</v>
      </c>
      <c r="C28" s="75">
        <v>0.34380000000000005</v>
      </c>
    </row>
    <row r="29" spans="1:8" ht="15.75" customHeight="1" x14ac:dyDescent="0.25">
      <c r="B29" s="24" t="s">
        <v>41</v>
      </c>
      <c r="C29" s="75">
        <v>9.8800000000000013E-2</v>
      </c>
    </row>
    <row r="30" spans="1:8" ht="15.75" customHeight="1" x14ac:dyDescent="0.25">
      <c r="B30" s="24" t="s">
        <v>42</v>
      </c>
      <c r="C30" s="75">
        <v>5.4600000000000003E-2</v>
      </c>
    </row>
    <row r="31" spans="1:8" ht="15.75" customHeight="1" x14ac:dyDescent="0.25">
      <c r="B31" s="24" t="s">
        <v>43</v>
      </c>
      <c r="C31" s="75">
        <v>1.1899999999999999E-2</v>
      </c>
    </row>
    <row r="32" spans="1:8" ht="15.75" customHeight="1" x14ac:dyDescent="0.25">
      <c r="B32" s="24" t="s">
        <v>44</v>
      </c>
      <c r="C32" s="75">
        <v>6.3299999999999995E-2</v>
      </c>
    </row>
    <row r="33" spans="2:3" ht="15.75" customHeight="1" x14ac:dyDescent="0.25">
      <c r="B33" s="24" t="s">
        <v>45</v>
      </c>
      <c r="C33" s="75">
        <v>0.1043</v>
      </c>
    </row>
    <row r="34" spans="2:3" ht="15.75" customHeight="1" x14ac:dyDescent="0.25">
      <c r="B34" s="24" t="s">
        <v>46</v>
      </c>
      <c r="C34" s="75">
        <v>0.17130000000223519</v>
      </c>
    </row>
    <row r="35" spans="2:3" ht="15.75" customHeight="1" x14ac:dyDescent="0.25">
      <c r="B35" s="32" t="s">
        <v>129</v>
      </c>
      <c r="C35" s="70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v>0.60641844424328151</v>
      </c>
      <c r="D2" s="76">
        <v>0.60641844424328151</v>
      </c>
      <c r="E2" s="76">
        <v>0.53657944638964572</v>
      </c>
      <c r="F2" s="76">
        <v>0.48156632386706943</v>
      </c>
      <c r="G2" s="76">
        <v>0.50881317097279843</v>
      </c>
    </row>
    <row r="3" spans="1:15" ht="15.75" customHeight="1" x14ac:dyDescent="0.25">
      <c r="A3" s="5"/>
      <c r="B3" s="11" t="s">
        <v>118</v>
      </c>
      <c r="C3" s="76">
        <v>0.19346558575671854</v>
      </c>
      <c r="D3" s="76">
        <v>0.19346558575671854</v>
      </c>
      <c r="E3" s="76">
        <v>0.13666724361035423</v>
      </c>
      <c r="F3" s="76">
        <v>0.18817507613293052</v>
      </c>
      <c r="G3" s="76">
        <v>0.23286409236053476</v>
      </c>
    </row>
    <row r="4" spans="1:15" ht="15.75" customHeight="1" x14ac:dyDescent="0.25">
      <c r="A4" s="5"/>
      <c r="B4" s="11" t="s">
        <v>116</v>
      </c>
      <c r="C4" s="77">
        <v>9.1209319659863924E-2</v>
      </c>
      <c r="D4" s="77">
        <v>9.1209319659863924E-2</v>
      </c>
      <c r="E4" s="77">
        <v>0.13143836154135335</v>
      </c>
      <c r="F4" s="77">
        <v>0.12115995976331362</v>
      </c>
      <c r="G4" s="77">
        <v>0.12496478957882068</v>
      </c>
    </row>
    <row r="5" spans="1:15" ht="15.75" customHeight="1" x14ac:dyDescent="0.25">
      <c r="A5" s="5"/>
      <c r="B5" s="11" t="s">
        <v>119</v>
      </c>
      <c r="C5" s="77">
        <v>0.10890665034013602</v>
      </c>
      <c r="D5" s="77">
        <v>0.10890665034013602</v>
      </c>
      <c r="E5" s="77">
        <v>0.19531494845864661</v>
      </c>
      <c r="F5" s="77">
        <v>0.20909864023668639</v>
      </c>
      <c r="G5" s="77">
        <v>0.13335794708784596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v>0.66644786936842104</v>
      </c>
      <c r="D8" s="76">
        <v>0.66644786936842104</v>
      </c>
      <c r="E8" s="76">
        <v>0.80201620069977431</v>
      </c>
      <c r="F8" s="76">
        <v>0.82194447911991209</v>
      </c>
      <c r="G8" s="76">
        <v>0.80429665773835912</v>
      </c>
    </row>
    <row r="9" spans="1:15" ht="15.75" customHeight="1" x14ac:dyDescent="0.25">
      <c r="B9" s="7" t="s">
        <v>121</v>
      </c>
      <c r="C9" s="76">
        <v>0.11518852063157896</v>
      </c>
      <c r="D9" s="76">
        <v>0.11518852063157896</v>
      </c>
      <c r="E9" s="76">
        <v>9.2928829300225738E-2</v>
      </c>
      <c r="F9" s="76">
        <v>7.6069380880088008E-2</v>
      </c>
      <c r="G9" s="76">
        <v>8.8047235594974141E-2</v>
      </c>
    </row>
    <row r="10" spans="1:15" ht="15.75" customHeight="1" x14ac:dyDescent="0.25">
      <c r="B10" s="7" t="s">
        <v>122</v>
      </c>
      <c r="C10" s="77">
        <v>0.10167812</v>
      </c>
      <c r="D10" s="77">
        <v>0.10167812</v>
      </c>
      <c r="E10" s="77">
        <v>5.5593456999999999E-2</v>
      </c>
      <c r="F10" s="77">
        <v>5.3118737999999992E-2</v>
      </c>
      <c r="G10" s="77">
        <v>5.831244766666667E-2</v>
      </c>
    </row>
    <row r="11" spans="1:15" ht="15.75" customHeight="1" x14ac:dyDescent="0.25">
      <c r="B11" s="7" t="s">
        <v>123</v>
      </c>
      <c r="C11" s="77">
        <v>0.11668549</v>
      </c>
      <c r="D11" s="77">
        <v>0.11668549</v>
      </c>
      <c r="E11" s="77">
        <v>4.9461513000000006E-2</v>
      </c>
      <c r="F11" s="77">
        <v>4.8867402000000004E-2</v>
      </c>
      <c r="G11" s="77">
        <v>4.9343659000000005E-2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0.47549585525000004</v>
      </c>
      <c r="D14" s="78">
        <v>0.47235857479600002</v>
      </c>
      <c r="E14" s="78">
        <v>0.47235857479600002</v>
      </c>
      <c r="F14" s="78">
        <v>0.37734795349299999</v>
      </c>
      <c r="G14" s="78">
        <v>0.37734795349299999</v>
      </c>
      <c r="H14" s="79">
        <v>0.36099999999999999</v>
      </c>
      <c r="I14" s="79">
        <v>0.36099999999999999</v>
      </c>
      <c r="J14" s="79">
        <v>0.36099999999999999</v>
      </c>
      <c r="K14" s="79">
        <v>0.36099999999999999</v>
      </c>
      <c r="L14" s="79">
        <v>0.161862148471</v>
      </c>
      <c r="M14" s="79">
        <v>0.15000690291300001</v>
      </c>
      <c r="N14" s="79">
        <v>0.1748936218595</v>
      </c>
      <c r="O14" s="79">
        <v>0.20736826611449999</v>
      </c>
    </row>
    <row r="15" spans="1:15" ht="15.75" customHeight="1" x14ac:dyDescent="0.25">
      <c r="B15" s="16" t="s">
        <v>68</v>
      </c>
      <c r="C15" s="76">
        <f t="shared" ref="C15:O15" si="0">iron_deficiency_anaemia*C14</f>
        <v>0.2438035928037621</v>
      </c>
      <c r="D15" s="76">
        <f t="shared" si="0"/>
        <v>0.24219499782260065</v>
      </c>
      <c r="E15" s="76">
        <f t="shared" si="0"/>
        <v>0.24219499782260065</v>
      </c>
      <c r="F15" s="76">
        <f t="shared" si="0"/>
        <v>0.1934796818583632</v>
      </c>
      <c r="G15" s="76">
        <f t="shared" si="0"/>
        <v>0.1934796818583632</v>
      </c>
      <c r="H15" s="76">
        <f t="shared" si="0"/>
        <v>0.1850975061725485</v>
      </c>
      <c r="I15" s="76">
        <f t="shared" si="0"/>
        <v>0.1850975061725485</v>
      </c>
      <c r="J15" s="76">
        <f t="shared" si="0"/>
        <v>0.1850975061725485</v>
      </c>
      <c r="K15" s="76">
        <f t="shared" si="0"/>
        <v>0.1850975061725485</v>
      </c>
      <c r="L15" s="76">
        <f t="shared" si="0"/>
        <v>8.2992465445188054E-2</v>
      </c>
      <c r="M15" s="76">
        <f t="shared" si="0"/>
        <v>7.69138604926978E-2</v>
      </c>
      <c r="N15" s="76">
        <f t="shared" si="0"/>
        <v>8.9674164132072479E-2</v>
      </c>
      <c r="O15" s="76">
        <f t="shared" si="0"/>
        <v>0.10632506625240816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0.47600000000000003</v>
      </c>
      <c r="D2" s="77">
        <v>0.27399999999999997</v>
      </c>
      <c r="E2" s="77">
        <v>0</v>
      </c>
      <c r="F2" s="77">
        <v>0</v>
      </c>
      <c r="G2" s="77">
        <v>0</v>
      </c>
    </row>
    <row r="3" spans="1:7" x14ac:dyDescent="0.25">
      <c r="B3" s="43" t="s">
        <v>167</v>
      </c>
      <c r="C3" s="77">
        <v>0.28199999999999997</v>
      </c>
      <c r="D3" s="77">
        <v>0.30399999999999999</v>
      </c>
      <c r="E3" s="77">
        <v>0</v>
      </c>
      <c r="F3" s="77">
        <v>0</v>
      </c>
      <c r="G3" s="77">
        <v>0</v>
      </c>
    </row>
    <row r="4" spans="1:7" x14ac:dyDescent="0.25">
      <c r="B4" s="43" t="s">
        <v>168</v>
      </c>
      <c r="C4" s="77">
        <v>0.17499999999999999</v>
      </c>
      <c r="D4" s="77">
        <v>0.312</v>
      </c>
      <c r="E4" s="77">
        <v>0.79799999999999993</v>
      </c>
      <c r="F4" s="77">
        <v>0.44700000000000001</v>
      </c>
      <c r="G4" s="77">
        <v>0</v>
      </c>
    </row>
    <row r="5" spans="1:7" x14ac:dyDescent="0.25">
      <c r="B5" s="43" t="s">
        <v>169</v>
      </c>
      <c r="C5" s="76">
        <f>1-SUM(C2:C4)</f>
        <v>6.6999999999999948E-2</v>
      </c>
      <c r="D5" s="76">
        <f t="shared" ref="D5:G5" si="0">1-SUM(D2:D4)</f>
        <v>0.1100000000000001</v>
      </c>
      <c r="E5" s="76">
        <f t="shared" si="0"/>
        <v>0.20200000000000007</v>
      </c>
      <c r="F5" s="76">
        <f t="shared" si="0"/>
        <v>0.55299999999999994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4" sqref="C14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2020</v>
      </c>
      <c r="D1">
        <f>C1+1</f>
        <v>2021</v>
      </c>
      <c r="E1">
        <f t="shared" ref="E1:M1" si="0">D1+1</f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>K1+1</f>
        <v>2029</v>
      </c>
      <c r="M1">
        <f t="shared" si="0"/>
        <v>2030</v>
      </c>
    </row>
    <row r="2" spans="1:13" x14ac:dyDescent="0.25">
      <c r="A2" t="s">
        <v>139</v>
      </c>
      <c r="B2" s="14" t="s">
        <v>143</v>
      </c>
      <c r="C2" s="28">
        <v>0.25206000000000001</v>
      </c>
      <c r="D2" s="28">
        <v>0.24956</v>
      </c>
      <c r="E2" s="28">
        <v>0.24654000000000001</v>
      </c>
      <c r="F2" s="28">
        <v>0.24353000000000002</v>
      </c>
      <c r="G2" s="28">
        <v>0.24041000000000001</v>
      </c>
      <c r="H2" s="28">
        <v>0.23733000000000001</v>
      </c>
      <c r="I2" s="28">
        <v>0.23426</v>
      </c>
      <c r="J2" s="28">
        <v>0.23119000000000001</v>
      </c>
      <c r="K2" s="28">
        <v>0.22812000000000002</v>
      </c>
      <c r="L2" s="28">
        <v>0.22516999999999998</v>
      </c>
      <c r="M2" s="28">
        <v>0.22234999999999999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0.11960000000000001</v>
      </c>
      <c r="D4" s="28">
        <v>0.12186999999999999</v>
      </c>
      <c r="E4" s="28">
        <v>0.12374</v>
      </c>
      <c r="F4" s="28">
        <v>0.12561</v>
      </c>
      <c r="G4" s="28">
        <v>0.12736</v>
      </c>
      <c r="H4" s="28">
        <v>0.12912999999999999</v>
      </c>
      <c r="I4" s="28">
        <v>0.13089999999999999</v>
      </c>
      <c r="J4" s="28">
        <v>0.13263999999999998</v>
      </c>
      <c r="K4" s="28">
        <v>0.13433999999999999</v>
      </c>
      <c r="L4" s="28">
        <v>0.13614000000000001</v>
      </c>
      <c r="M4" s="28">
        <v>0.13805000000000001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0.20324955496756339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0.18509750617254847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8.98312353142207E-2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C9" s="137"/>
    </row>
    <row r="10" spans="1:13" x14ac:dyDescent="0.25">
      <c r="A10" t="s">
        <v>142</v>
      </c>
      <c r="B10" s="16" t="s">
        <v>147</v>
      </c>
      <c r="C10" s="28">
        <f>('Breastfeeding distribution'!C2 + 5*'Breastfeeding distribution'!D2)/6</f>
        <v>0.30766666666666664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B11" s="34" t="s">
        <v>146</v>
      </c>
      <c r="C11" s="28">
        <f>('Breastfeeding distribution'!E4+2*'Breastfeeding distribution'!F4)/3</f>
        <v>0.56399999999999995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3" spans="1:13" x14ac:dyDescent="0.25">
      <c r="A13" s="12" t="s">
        <v>74</v>
      </c>
      <c r="B13" s="34" t="s">
        <v>148</v>
      </c>
      <c r="C13" s="28">
        <v>18.126999999999999</v>
      </c>
      <c r="D13" s="28">
        <v>17.414000000000001</v>
      </c>
      <c r="E13" s="28">
        <v>16.971</v>
      </c>
      <c r="F13" s="28">
        <v>16.385000000000002</v>
      </c>
      <c r="G13" s="28">
        <v>16.027999999999999</v>
      </c>
      <c r="H13" s="28">
        <v>15.632999999999999</v>
      </c>
      <c r="I13" s="28">
        <v>15.182</v>
      </c>
      <c r="J13" s="28">
        <v>16.532</v>
      </c>
      <c r="K13" s="28">
        <v>14.397</v>
      </c>
      <c r="L13" s="28">
        <v>14.621</v>
      </c>
      <c r="M13" s="28">
        <v>14.635999999999999</v>
      </c>
    </row>
    <row r="14" spans="1:13" x14ac:dyDescent="0.25">
      <c r="B14" s="16" t="s">
        <v>170</v>
      </c>
      <c r="C14" s="28">
        <f>maternal_mortality</f>
        <v>0.32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x14ac:dyDescent="0.25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 t="s">
        <v>194</v>
      </c>
    </row>
    <row r="16" spans="1:5" x14ac:dyDescent="0.25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x14ac:dyDescent="0.25">
      <c r="A2" s="61" t="s">
        <v>69</v>
      </c>
      <c r="B2" s="46" t="s">
        <v>67</v>
      </c>
      <c r="C2" s="46" t="s">
        <v>183</v>
      </c>
      <c r="D2" s="80"/>
    </row>
    <row r="3" spans="1:4" x14ac:dyDescent="0.25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workbookViewId="0">
      <selection activeCell="E31" sqref="E31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4" t="s">
        <v>69</v>
      </c>
      <c r="B1" s="62" t="str">
        <f>"Baseline ("&amp;start_year&amp;") coverage"</f>
        <v>Baseline (2020) coverage</v>
      </c>
      <c r="C1" s="53" t="s">
        <v>200</v>
      </c>
      <c r="D1" s="53" t="s">
        <v>271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82">
        <v>36.11916955958214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82">
        <v>42.481123974359448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82">
        <v>70.900000000000006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82">
        <v>1.2704777194273285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82">
        <v>1</v>
      </c>
      <c r="E6" s="82" t="s">
        <v>201</v>
      </c>
    </row>
    <row r="7" spans="1:5" ht="15.75" customHeight="1" x14ac:dyDescent="0.25">
      <c r="A7" s="52" t="s">
        <v>63</v>
      </c>
      <c r="B7" s="81">
        <v>0.5</v>
      </c>
      <c r="C7" s="81">
        <v>0.95</v>
      </c>
      <c r="D7" s="82">
        <v>0.3715978850511571</v>
      </c>
      <c r="E7" s="82" t="s">
        <v>201</v>
      </c>
    </row>
    <row r="8" spans="1:5" ht="15.75" customHeight="1" x14ac:dyDescent="0.25">
      <c r="A8" s="52" t="s">
        <v>64</v>
      </c>
      <c r="B8" s="81">
        <v>0.5</v>
      </c>
      <c r="C8" s="81">
        <v>0.95</v>
      </c>
      <c r="D8" s="82">
        <v>0.3715978850511571</v>
      </c>
      <c r="E8" s="82" t="s">
        <v>201</v>
      </c>
    </row>
    <row r="9" spans="1:5" ht="15.75" customHeight="1" x14ac:dyDescent="0.25">
      <c r="A9" s="52" t="s">
        <v>62</v>
      </c>
      <c r="B9" s="81">
        <v>0.5</v>
      </c>
      <c r="C9" s="81">
        <v>0.95</v>
      </c>
      <c r="D9" s="82">
        <v>0.3715978850511571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82">
        <v>1.0583254163700127</v>
      </c>
      <c r="E10" s="82" t="s">
        <v>201</v>
      </c>
    </row>
    <row r="11" spans="1:5" ht="15.75" customHeight="1" x14ac:dyDescent="0.25">
      <c r="A11" s="59" t="s">
        <v>206</v>
      </c>
      <c r="B11" s="81">
        <v>0</v>
      </c>
      <c r="C11" s="81">
        <v>0.95</v>
      </c>
      <c r="D11" s="82">
        <v>1.0583254163700127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82">
        <v>1.0583254163700127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82">
        <v>1.0583254163700127</v>
      </c>
      <c r="E13" s="82" t="s">
        <v>201</v>
      </c>
    </row>
    <row r="14" spans="1:5" ht="15.75" customHeight="1" x14ac:dyDescent="0.25">
      <c r="A14" s="11" t="s">
        <v>187</v>
      </c>
      <c r="B14" s="81">
        <v>0</v>
      </c>
      <c r="C14" s="81">
        <v>0.95</v>
      </c>
      <c r="D14" s="82">
        <v>13.498835874380038</v>
      </c>
      <c r="E14" s="82" t="s">
        <v>201</v>
      </c>
    </row>
    <row r="15" spans="1:5" ht="15.75" customHeight="1" x14ac:dyDescent="0.25">
      <c r="A15" s="11" t="s">
        <v>207</v>
      </c>
      <c r="B15" s="81">
        <v>0</v>
      </c>
      <c r="C15" s="81">
        <v>0.95</v>
      </c>
      <c r="D15" s="82">
        <v>13.498835874380038</v>
      </c>
      <c r="E15" s="82" t="s">
        <v>201</v>
      </c>
    </row>
    <row r="16" spans="1:5" ht="15.75" customHeight="1" x14ac:dyDescent="0.25">
      <c r="A16" s="52" t="s">
        <v>57</v>
      </c>
      <c r="B16" s="81">
        <v>0</v>
      </c>
      <c r="C16" s="81">
        <v>0.95</v>
      </c>
      <c r="D16" s="82">
        <v>0.13690448396621577</v>
      </c>
      <c r="E16" s="82" t="s">
        <v>201</v>
      </c>
    </row>
    <row r="17" spans="1:5" ht="15.75" customHeight="1" x14ac:dyDescent="0.25">
      <c r="A17" s="52" t="s">
        <v>47</v>
      </c>
      <c r="B17" s="81">
        <v>0.86</v>
      </c>
      <c r="C17" s="81">
        <v>0.95</v>
      </c>
      <c r="D17" s="82">
        <v>0.2380786122301152</v>
      </c>
      <c r="E17" s="82" t="s">
        <v>201</v>
      </c>
    </row>
    <row r="18" spans="1:5" ht="15.9" customHeight="1" x14ac:dyDescent="0.25">
      <c r="A18" s="52" t="s">
        <v>173</v>
      </c>
      <c r="B18" s="81">
        <v>0</v>
      </c>
      <c r="C18" s="81">
        <v>0.95</v>
      </c>
      <c r="D18" s="82">
        <v>1.7378863926520798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82">
        <v>1.05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82">
        <v>0.42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82">
        <v>11.875561895445459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82">
        <v>23.012884603916923</v>
      </c>
      <c r="E22" s="82" t="s">
        <v>201</v>
      </c>
    </row>
    <row r="23" spans="1:5" ht="15.75" customHeight="1" x14ac:dyDescent="0.25">
      <c r="A23" s="52" t="s">
        <v>34</v>
      </c>
      <c r="B23" s="81">
        <v>0</v>
      </c>
      <c r="C23" s="81">
        <v>0.95</v>
      </c>
      <c r="D23" s="82">
        <v>4.4354944052820704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82">
        <v>19.495245238872506</v>
      </c>
      <c r="E24" s="82" t="s">
        <v>201</v>
      </c>
    </row>
    <row r="25" spans="1:5" ht="15.75" customHeight="1" x14ac:dyDescent="0.25">
      <c r="A25" s="52" t="s">
        <v>87</v>
      </c>
      <c r="B25" s="81">
        <v>0.105</v>
      </c>
      <c r="C25" s="81">
        <v>0.95</v>
      </c>
      <c r="D25" s="82">
        <v>19.49990757547862</v>
      </c>
      <c r="E25" s="82" t="s">
        <v>201</v>
      </c>
    </row>
    <row r="26" spans="1:5" ht="15.75" customHeight="1" x14ac:dyDescent="0.25">
      <c r="A26" s="52" t="s">
        <v>137</v>
      </c>
      <c r="B26" s="81">
        <v>0</v>
      </c>
      <c r="C26" s="81">
        <v>0.95</v>
      </c>
      <c r="D26" s="82">
        <v>4.4204733699678718</v>
      </c>
      <c r="E26" s="82" t="s">
        <v>201</v>
      </c>
    </row>
    <row r="27" spans="1:5" ht="15.75" customHeight="1" x14ac:dyDescent="0.25">
      <c r="A27" s="52" t="s">
        <v>59</v>
      </c>
      <c r="B27" s="81">
        <v>0</v>
      </c>
      <c r="C27" s="81">
        <v>0.95</v>
      </c>
      <c r="D27" s="82">
        <v>3.9780642283221384</v>
      </c>
      <c r="E27" s="82" t="s">
        <v>201</v>
      </c>
    </row>
    <row r="28" spans="1:5" ht="15.75" customHeight="1" x14ac:dyDescent="0.25">
      <c r="A28" s="52" t="s">
        <v>84</v>
      </c>
      <c r="B28" s="81">
        <v>0.498</v>
      </c>
      <c r="C28" s="81">
        <v>0.95</v>
      </c>
      <c r="D28" s="82">
        <v>0.61018778376196003</v>
      </c>
      <c r="E28" s="82" t="s">
        <v>201</v>
      </c>
    </row>
    <row r="29" spans="1:5" ht="15.75" customHeight="1" x14ac:dyDescent="0.25">
      <c r="A29" s="52" t="s">
        <v>58</v>
      </c>
      <c r="B29" s="81">
        <v>0</v>
      </c>
      <c r="C29" s="81">
        <v>0.95</v>
      </c>
      <c r="D29" s="82">
        <v>63.641193459852339</v>
      </c>
      <c r="E29" s="82" t="s">
        <v>201</v>
      </c>
    </row>
    <row r="30" spans="1:5" ht="15.75" customHeight="1" x14ac:dyDescent="0.25">
      <c r="A30" s="52" t="s">
        <v>67</v>
      </c>
      <c r="B30" s="81">
        <v>0</v>
      </c>
      <c r="C30" s="81">
        <v>0.95</v>
      </c>
      <c r="D30" s="82">
        <v>209.38892899573665</v>
      </c>
      <c r="E30" s="82" t="s">
        <v>201</v>
      </c>
    </row>
    <row r="31" spans="1:5" ht="15.75" customHeight="1" x14ac:dyDescent="0.25">
      <c r="A31" s="52" t="s">
        <v>183</v>
      </c>
      <c r="B31" s="81">
        <v>0</v>
      </c>
      <c r="C31" s="81">
        <v>0.95</v>
      </c>
      <c r="D31" s="82">
        <v>209.38892899573665</v>
      </c>
      <c r="E31" s="82" t="s">
        <v>201</v>
      </c>
    </row>
    <row r="32" spans="1:5" ht="15.75" customHeight="1" x14ac:dyDescent="0.25">
      <c r="A32" s="52" t="s">
        <v>28</v>
      </c>
      <c r="B32" s="81">
        <v>0.33</v>
      </c>
      <c r="C32" s="81">
        <v>0.95</v>
      </c>
      <c r="D32" s="82">
        <v>0.45591617905202914</v>
      </c>
      <c r="E32" s="82" t="s">
        <v>201</v>
      </c>
    </row>
    <row r="33" spans="1:6" ht="15.75" customHeight="1" x14ac:dyDescent="0.25">
      <c r="A33" s="52" t="s">
        <v>83</v>
      </c>
      <c r="B33" s="81">
        <v>0.17</v>
      </c>
      <c r="C33" s="81">
        <v>0.95</v>
      </c>
      <c r="D33" s="82">
        <v>0.9</v>
      </c>
      <c r="E33" s="82" t="s">
        <v>201</v>
      </c>
    </row>
    <row r="34" spans="1:6" ht="15.75" customHeight="1" x14ac:dyDescent="0.25">
      <c r="A34" s="52" t="s">
        <v>82</v>
      </c>
      <c r="B34" s="81">
        <v>0</v>
      </c>
      <c r="C34" s="81">
        <v>0.95</v>
      </c>
      <c r="D34" s="82">
        <v>0.9</v>
      </c>
      <c r="E34" s="82" t="s">
        <v>201</v>
      </c>
    </row>
    <row r="35" spans="1:6" ht="15.75" customHeight="1" x14ac:dyDescent="0.25">
      <c r="A35" s="52" t="s">
        <v>81</v>
      </c>
      <c r="B35" s="81">
        <v>0.95700000000000007</v>
      </c>
      <c r="C35" s="81">
        <v>0.95</v>
      </c>
      <c r="D35" s="82">
        <v>79</v>
      </c>
      <c r="E35" s="82" t="s">
        <v>201</v>
      </c>
    </row>
    <row r="36" spans="1:6" ht="15.75" customHeight="1" x14ac:dyDescent="0.25">
      <c r="A36" s="52" t="s">
        <v>79</v>
      </c>
      <c r="B36" s="81">
        <v>0.90099999999999991</v>
      </c>
      <c r="C36" s="81">
        <v>0.95</v>
      </c>
      <c r="D36" s="82">
        <v>31</v>
      </c>
      <c r="E36" s="82" t="s">
        <v>201</v>
      </c>
    </row>
    <row r="37" spans="1:6" s="36" customFormat="1" ht="15.75" customHeight="1" x14ac:dyDescent="0.25">
      <c r="A37" s="52" t="s">
        <v>80</v>
      </c>
      <c r="B37" s="81">
        <v>0.86799999999999999</v>
      </c>
      <c r="C37" s="81">
        <v>0.95</v>
      </c>
      <c r="D37" s="82">
        <v>102</v>
      </c>
      <c r="E37" s="82" t="s">
        <v>201</v>
      </c>
      <c r="F37" s="35"/>
    </row>
    <row r="38" spans="1:6" ht="15.75" customHeight="1" x14ac:dyDescent="0.25">
      <c r="A38" s="52" t="s">
        <v>85</v>
      </c>
      <c r="B38" s="81">
        <v>0</v>
      </c>
      <c r="C38" s="81">
        <v>0.95</v>
      </c>
      <c r="D38" s="82">
        <v>1.8223957878025612</v>
      </c>
      <c r="E38" s="82" t="s">
        <v>201</v>
      </c>
    </row>
    <row r="39" spans="1:6" ht="15.75" customHeight="1" x14ac:dyDescent="0.25">
      <c r="A39" s="52" t="s">
        <v>60</v>
      </c>
      <c r="B39" s="81">
        <v>0</v>
      </c>
      <c r="C39" s="81">
        <v>0.95</v>
      </c>
      <c r="D39" s="82">
        <v>0.47869990982916338</v>
      </c>
      <c r="E39" s="82" t="s">
        <v>201</v>
      </c>
    </row>
    <row r="40" spans="1:6" ht="15.75" customHeight="1" x14ac:dyDescent="0.25">
      <c r="F40" s="36"/>
    </row>
  </sheetData>
  <sheetProtection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0"/>
  <sheetViews>
    <sheetView workbookViewId="0">
      <selection activeCell="B4" sqref="B4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207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1.6216072014575</v>
      </c>
      <c r="C2" s="26">
        <f>'Baseline year population inputs'!C52</f>
        <v>1.6756519305399999</v>
      </c>
      <c r="D2" s="26">
        <f>'Baseline year population inputs'!C53</f>
        <v>1.6756519305399999</v>
      </c>
      <c r="E2" s="26">
        <f>'Baseline year population inputs'!C54</f>
        <v>1.50067733721</v>
      </c>
      <c r="F2" s="26">
        <f>'Baseline year population inputs'!C55</f>
        <v>1.50067733721</v>
      </c>
    </row>
    <row r="3" spans="1:6" ht="15.75" customHeight="1" x14ac:dyDescent="0.25">
      <c r="A3" s="3" t="s">
        <v>65</v>
      </c>
      <c r="B3" s="26">
        <f>frac_mam_1month * 2.6</f>
        <v>0.26436311200000001</v>
      </c>
      <c r="C3" s="26">
        <f>frac_mam_1_5months * 2.6</f>
        <v>0.26436311200000001</v>
      </c>
      <c r="D3" s="26">
        <f>frac_mam_6_11months * 2.6</f>
        <v>0.1445429882</v>
      </c>
      <c r="E3" s="26">
        <f>frac_mam_12_23months * 2.6</f>
        <v>0.13810871879999997</v>
      </c>
      <c r="F3" s="26">
        <f>frac_mam_24_59months * 2.6</f>
        <v>0.15161236393333336</v>
      </c>
    </row>
    <row r="4" spans="1:6" ht="15.75" customHeight="1" x14ac:dyDescent="0.25">
      <c r="A4" s="3" t="s">
        <v>66</v>
      </c>
      <c r="B4" s="26">
        <f>frac_sam_1month * 2.6</f>
        <v>0.30338227400000001</v>
      </c>
      <c r="C4" s="26">
        <f>frac_sam_1_5months * 2.6</f>
        <v>0.30338227400000001</v>
      </c>
      <c r="D4" s="26">
        <f>frac_sam_6_11months * 2.6</f>
        <v>0.12859993380000001</v>
      </c>
      <c r="E4" s="26">
        <f>frac_sam_12_23months * 2.6</f>
        <v>0.12705524520000003</v>
      </c>
      <c r="F4" s="26">
        <f>frac_sam_24_59months * 2.6</f>
        <v>0.12829351340000003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39"/>
  <sheetViews>
    <sheetView topLeftCell="A4" zoomScale="85" zoomScaleNormal="118" workbookViewId="0">
      <selection activeCell="D9" sqref="D9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87">
        <v>0</v>
      </c>
      <c r="D2" s="87">
        <f>food_insecure</f>
        <v>5.0000000000000001E-3</v>
      </c>
      <c r="E2" s="87">
        <f>food_insecure</f>
        <v>5.0000000000000001E-3</v>
      </c>
      <c r="F2" s="87">
        <f>food_insecure</f>
        <v>5.0000000000000001E-3</v>
      </c>
      <c r="G2" s="87">
        <f>food_insecure</f>
        <v>5.0000000000000001E-3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5.0000000000000001E-3</v>
      </c>
      <c r="F5" s="87">
        <f>food_insecure</f>
        <v>5.0000000000000001E-3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diarrhoea_1mo/26</f>
        <v>6.2369507748365388E-2</v>
      </c>
      <c r="D7" s="87">
        <f>diarrhoea_1_5mo/26</f>
        <v>6.4448151174615387E-2</v>
      </c>
      <c r="E7" s="87">
        <f>diarrhoea_6_11mo/26</f>
        <v>6.4448151174615387E-2</v>
      </c>
      <c r="F7" s="87">
        <f>diarrhoea_12_23mo/26</f>
        <v>5.7718359123461536E-2</v>
      </c>
      <c r="G7" s="87">
        <f>diarrhoea_24_59mo/26</f>
        <v>5.7718359123461536E-2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5.0000000000000001E-3</v>
      </c>
      <c r="F8" s="87">
        <f>food_insecure</f>
        <v>5.0000000000000001E-3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0.77</v>
      </c>
      <c r="E9" s="87">
        <f>IF(ISBLANK(comm_deliv), frac_children_health_facility,1)</f>
        <v>0.77</v>
      </c>
      <c r="F9" s="87">
        <f>IF(ISBLANK(comm_deliv), frac_children_health_facility,1)</f>
        <v>0.77</v>
      </c>
      <c r="G9" s="87">
        <f>IF(ISBLANK(comm_deliv), frac_children_health_facility,1)</f>
        <v>0.77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diarrhoea_1mo/26</f>
        <v>6.2369507748365388E-2</v>
      </c>
      <c r="D11" s="87">
        <f>diarrhoea_1_5mo/26</f>
        <v>6.4448151174615387E-2</v>
      </c>
      <c r="E11" s="87">
        <f>diarrhoea_6_11mo/26</f>
        <v>6.4448151174615387E-2</v>
      </c>
      <c r="F11" s="87">
        <f>diarrhoea_12_23mo/26</f>
        <v>5.7718359123461536E-2</v>
      </c>
      <c r="G11" s="87">
        <f>diarrhoea_24_59mo/26</f>
        <v>5.7718359123461536E-2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25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5.0000000000000001E-3</v>
      </c>
      <c r="I14" s="87">
        <f>food_insecure</f>
        <v>5.0000000000000001E-3</v>
      </c>
      <c r="J14" s="87">
        <f>food_insecure</f>
        <v>5.0000000000000001E-3</v>
      </c>
      <c r="K14" s="87">
        <f>food_insecure</f>
        <v>5.0000000000000001E-3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5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207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0.63700000000000001</v>
      </c>
      <c r="I17" s="87">
        <f>frac_PW_health_facility</f>
        <v>0.63700000000000001</v>
      </c>
      <c r="J17" s="87">
        <f>frac_PW_health_facility</f>
        <v>0.63700000000000001</v>
      </c>
      <c r="K17" s="87">
        <f>frac_PW_health_facility</f>
        <v>0.63700000000000001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5.0000000000000001E-3</v>
      </c>
      <c r="I18" s="87">
        <f>frac_malaria_risk</f>
        <v>5.0000000000000001E-3</v>
      </c>
      <c r="J18" s="87">
        <f>frac_malaria_risk</f>
        <v>5.0000000000000001E-3</v>
      </c>
      <c r="K18" s="87">
        <f>frac_malaria_risk</f>
        <v>5.0000000000000001E-3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25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0.46700000000000003</v>
      </c>
      <c r="M23" s="87">
        <f>famplan_unmet_need</f>
        <v>0.46700000000000003</v>
      </c>
      <c r="N23" s="87">
        <f>famplan_unmet_need</f>
        <v>0.46700000000000003</v>
      </c>
      <c r="O23" s="87">
        <f>famplan_unmet_need</f>
        <v>0.46700000000000003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0.26872706754302994</v>
      </c>
      <c r="M24" s="87">
        <f>(1-food_insecure)*(0.49)+food_insecure*(0.7)</f>
        <v>0.49104999999999999</v>
      </c>
      <c r="N24" s="87">
        <f>(1-food_insecure)*(0.49)+food_insecure*(0.7)</f>
        <v>0.49104999999999999</v>
      </c>
      <c r="O24" s="87">
        <f>(1-food_insecure)*(0.49)+food_insecure*(0.7)</f>
        <v>0.49104999999999999</v>
      </c>
    </row>
    <row r="25" spans="1:15" ht="15.75" customHeight="1" x14ac:dyDescent="0.25">
      <c r="B25" s="59" t="s">
        <v>206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0.11516874323272711</v>
      </c>
      <c r="M25" s="87">
        <f>(1-food_insecure)*(0.21)+food_insecure*(0.3)</f>
        <v>0.21045</v>
      </c>
      <c r="N25" s="87">
        <f>(1-food_insecure)*(0.21)+food_insecure*(0.3)</f>
        <v>0.21045</v>
      </c>
      <c r="O25" s="87">
        <f>(1-food_insecure)*(0.21)+food_insecure*(0.3)</f>
        <v>0.21045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0.16335409767150888</v>
      </c>
      <c r="M26" s="87">
        <f>(1-food_insecure)*(0.3)</f>
        <v>0.29849999999999999</v>
      </c>
      <c r="N26" s="87">
        <f>(1-food_insecure)*(0.3)</f>
        <v>0.29849999999999999</v>
      </c>
      <c r="O26" s="87">
        <f>(1-food_insecure)*(0.3)</f>
        <v>0.29849999999999999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0.45275009155273405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5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0.99</v>
      </c>
      <c r="F29" s="87">
        <f t="shared" si="0"/>
        <v>0.99</v>
      </c>
      <c r="G29" s="87">
        <f t="shared" si="0"/>
        <v>0.99</v>
      </c>
      <c r="H29" s="87">
        <f t="shared" si="0"/>
        <v>0.99</v>
      </c>
      <c r="I29" s="87">
        <f t="shared" si="0"/>
        <v>0.99</v>
      </c>
      <c r="J29" s="87">
        <f t="shared" si="0"/>
        <v>0.99</v>
      </c>
      <c r="K29" s="87">
        <f t="shared" si="0"/>
        <v>0.99</v>
      </c>
      <c r="L29" s="87">
        <f t="shared" si="0"/>
        <v>0.99</v>
      </c>
      <c r="M29" s="87">
        <f t="shared" si="0"/>
        <v>0.99</v>
      </c>
      <c r="N29" s="87">
        <f t="shared" si="0"/>
        <v>0.99</v>
      </c>
      <c r="O29" s="87">
        <f t="shared" si="0"/>
        <v>0.99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5.0000000000000001E-3</v>
      </c>
      <c r="F30" s="87">
        <f t="shared" si="1"/>
        <v>5.0000000000000001E-3</v>
      </c>
      <c r="G30" s="87">
        <f t="shared" si="1"/>
        <v>5.0000000000000001E-3</v>
      </c>
      <c r="H30" s="87">
        <f t="shared" si="1"/>
        <v>5.0000000000000001E-3</v>
      </c>
      <c r="I30" s="87">
        <f t="shared" si="1"/>
        <v>5.0000000000000001E-3</v>
      </c>
      <c r="J30" s="87">
        <f t="shared" si="1"/>
        <v>5.0000000000000001E-3</v>
      </c>
      <c r="K30" s="87">
        <f t="shared" si="1"/>
        <v>5.0000000000000001E-3</v>
      </c>
      <c r="L30" s="87">
        <f t="shared" si="1"/>
        <v>5.0000000000000001E-3</v>
      </c>
      <c r="M30" s="87">
        <f t="shared" si="1"/>
        <v>5.0000000000000001E-3</v>
      </c>
      <c r="N30" s="87">
        <f t="shared" si="1"/>
        <v>5.0000000000000001E-3</v>
      </c>
      <c r="O30" s="87">
        <f t="shared" si="1"/>
        <v>5.0000000000000001E-3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>frac_wheat</f>
        <v>5.0000000000000001E-3</v>
      </c>
      <c r="F31" s="87">
        <f t="shared" ref="F31:O31" si="2">frac_wheat</f>
        <v>5.0000000000000001E-3</v>
      </c>
      <c r="G31" s="87">
        <f t="shared" si="2"/>
        <v>5.0000000000000001E-3</v>
      </c>
      <c r="H31" s="87">
        <f t="shared" si="2"/>
        <v>5.0000000000000001E-3</v>
      </c>
      <c r="I31" s="87">
        <f t="shared" si="2"/>
        <v>5.0000000000000001E-3</v>
      </c>
      <c r="J31" s="87">
        <f t="shared" si="2"/>
        <v>5.0000000000000001E-3</v>
      </c>
      <c r="K31" s="87">
        <f t="shared" si="2"/>
        <v>5.0000000000000001E-3</v>
      </c>
      <c r="L31" s="87">
        <f t="shared" si="2"/>
        <v>5.0000000000000001E-3</v>
      </c>
      <c r="M31" s="87">
        <f t="shared" si="2"/>
        <v>5.0000000000000001E-3</v>
      </c>
      <c r="N31" s="87">
        <f t="shared" si="2"/>
        <v>5.0000000000000001E-3</v>
      </c>
      <c r="O31" s="87">
        <f t="shared" si="2"/>
        <v>5.0000000000000001E-3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5.0000000000000001E-3</v>
      </c>
      <c r="D33" s="87">
        <f t="shared" si="3"/>
        <v>5.0000000000000001E-3</v>
      </c>
      <c r="E33" s="87">
        <f t="shared" si="3"/>
        <v>5.0000000000000001E-3</v>
      </c>
      <c r="F33" s="87">
        <f t="shared" si="3"/>
        <v>5.0000000000000001E-3</v>
      </c>
      <c r="G33" s="87">
        <f t="shared" si="3"/>
        <v>5.0000000000000001E-3</v>
      </c>
      <c r="H33" s="87">
        <f t="shared" si="3"/>
        <v>5.0000000000000001E-3</v>
      </c>
      <c r="I33" s="87">
        <f t="shared" si="3"/>
        <v>5.0000000000000001E-3</v>
      </c>
      <c r="J33" s="87">
        <f t="shared" si="3"/>
        <v>5.0000000000000001E-3</v>
      </c>
      <c r="K33" s="87">
        <f t="shared" si="3"/>
        <v>5.0000000000000001E-3</v>
      </c>
      <c r="L33" s="87">
        <f t="shared" si="3"/>
        <v>5.0000000000000001E-3</v>
      </c>
      <c r="M33" s="87">
        <f t="shared" si="3"/>
        <v>5.0000000000000001E-3</v>
      </c>
      <c r="N33" s="87">
        <f t="shared" si="3"/>
        <v>5.0000000000000001E-3</v>
      </c>
      <c r="O33" s="87">
        <f t="shared" si="3"/>
        <v>5.0000000000000001E-3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P41"/>
  <sheetViews>
    <sheetView topLeftCell="B9" workbookViewId="0">
      <selection activeCell="F8" sqref="F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149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173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198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199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195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136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137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67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28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85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60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">
      <c r="A17" s="56" t="s">
        <v>32</v>
      </c>
      <c r="B17" s="52" t="s">
        <v>29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">
      <c r="A18" s="56"/>
      <c r="B18" s="52" t="s">
        <v>86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B19" s="90" t="s">
        <v>187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207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1" t="s">
        <v>57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52" t="s">
        <v>88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.05" customHeight="1" x14ac:dyDescent="0.3">
      <c r="A26" s="56" t="s">
        <v>37</v>
      </c>
      <c r="B26" s="52" t="s">
        <v>197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">
      <c r="B27" s="59" t="s">
        <v>188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">
      <c r="A28" s="56"/>
      <c r="B28" s="59" t="s">
        <v>206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B29" s="59" t="s">
        <v>189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190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">
      <c r="A32" s="56" t="s">
        <v>35</v>
      </c>
      <c r="B32" s="52" t="s">
        <v>63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">
      <c r="B33" s="52" t="s">
        <v>64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62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34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A37" s="93"/>
      <c r="B37" s="52" t="s">
        <v>83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">
      <c r="B38" s="52" t="s">
        <v>82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81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79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">
      <c r="B41" s="52" t="s">
        <v>80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194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194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194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149</v>
      </c>
      <c r="B5" s="133"/>
      <c r="C5" s="133" t="s">
        <v>194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197</v>
      </c>
      <c r="B6" s="133"/>
      <c r="C6" s="133"/>
      <c r="D6" s="133"/>
      <c r="E6" s="133"/>
      <c r="F6" s="133"/>
      <c r="G6" s="133"/>
      <c r="H6" s="133"/>
      <c r="I6" s="133"/>
      <c r="J6" s="133" t="s">
        <v>194</v>
      </c>
      <c r="K6" s="133" t="s">
        <v>194</v>
      </c>
    </row>
    <row r="7" spans="1:11" x14ac:dyDescent="0.25">
      <c r="A7" s="52" t="s">
        <v>63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/>
      <c r="J9" s="133"/>
      <c r="K9" s="133"/>
    </row>
    <row r="10" spans="1:11" x14ac:dyDescent="0.25">
      <c r="A10" s="59" t="s">
        <v>188</v>
      </c>
      <c r="B10" s="133"/>
      <c r="C10" s="133" t="s">
        <v>194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206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189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190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187</v>
      </c>
      <c r="B14" s="133"/>
      <c r="C14" s="133" t="s">
        <v>194</v>
      </c>
      <c r="D14" s="133"/>
      <c r="E14" s="133"/>
      <c r="F14" s="133"/>
      <c r="G14" s="133"/>
      <c r="H14" s="133"/>
      <c r="I14" s="133" t="s">
        <v>194</v>
      </c>
      <c r="J14" s="133"/>
      <c r="K14" s="133"/>
    </row>
    <row r="15" spans="1:11" x14ac:dyDescent="0.25">
      <c r="A15" s="90" t="s">
        <v>207</v>
      </c>
      <c r="B15" s="133"/>
      <c r="C15" s="133" t="s">
        <v>194</v>
      </c>
      <c r="D15" s="133"/>
      <c r="E15" s="133"/>
      <c r="F15" s="133"/>
      <c r="G15" s="133"/>
      <c r="H15" s="133"/>
      <c r="I15" s="133" t="s">
        <v>194</v>
      </c>
      <c r="J15" s="133"/>
      <c r="K15" s="133"/>
    </row>
    <row r="16" spans="1:11" x14ac:dyDescent="0.25">
      <c r="A16" s="52" t="s">
        <v>57</v>
      </c>
      <c r="B16" s="133"/>
      <c r="C16" s="133" t="s">
        <v>194</v>
      </c>
      <c r="D16" s="133"/>
      <c r="E16" s="133"/>
      <c r="F16" s="133"/>
      <c r="G16" s="133"/>
      <c r="H16" s="133" t="s">
        <v>194</v>
      </c>
      <c r="I16" s="133" t="s">
        <v>194</v>
      </c>
      <c r="J16" s="133"/>
      <c r="K16" s="133"/>
    </row>
    <row r="17" spans="1:11" x14ac:dyDescent="0.25">
      <c r="A17" s="52" t="s">
        <v>47</v>
      </c>
      <c r="B17" s="133"/>
      <c r="C17" s="133" t="s">
        <v>194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173</v>
      </c>
      <c r="B18" s="133" t="s">
        <v>194</v>
      </c>
      <c r="C18" s="133"/>
      <c r="D18" s="133"/>
      <c r="E18" s="133"/>
      <c r="F18" s="133" t="s">
        <v>194</v>
      </c>
      <c r="G18" s="133"/>
      <c r="H18" s="133"/>
      <c r="I18" s="133"/>
      <c r="J18" s="133"/>
      <c r="K18" s="133"/>
    </row>
    <row r="19" spans="1:11" x14ac:dyDescent="0.25">
      <c r="A19" s="52" t="s">
        <v>198</v>
      </c>
      <c r="B19" s="133" t="s">
        <v>194</v>
      </c>
      <c r="C19" s="133"/>
      <c r="D19" s="133"/>
      <c r="E19" s="133"/>
      <c r="F19" s="133" t="s">
        <v>194</v>
      </c>
      <c r="G19" s="133"/>
      <c r="H19" s="133"/>
      <c r="I19" s="133"/>
      <c r="J19" s="133"/>
      <c r="K19" s="133"/>
    </row>
    <row r="20" spans="1:11" x14ac:dyDescent="0.25">
      <c r="A20" s="52" t="s">
        <v>199</v>
      </c>
      <c r="B20" s="133" t="s">
        <v>194</v>
      </c>
      <c r="C20" s="133"/>
      <c r="D20" s="133"/>
      <c r="E20" s="133"/>
      <c r="F20" s="133" t="s">
        <v>194</v>
      </c>
      <c r="G20" s="133"/>
      <c r="H20" s="133"/>
      <c r="I20" s="133"/>
      <c r="J20" s="133"/>
      <c r="K20" s="133"/>
    </row>
    <row r="21" spans="1:11" x14ac:dyDescent="0.25">
      <c r="A21" s="52" t="s">
        <v>195</v>
      </c>
      <c r="B21" s="133"/>
      <c r="C21" s="133"/>
      <c r="D21" s="133"/>
      <c r="E21" s="133"/>
      <c r="F21" s="133"/>
      <c r="G21" s="133"/>
      <c r="H21" s="133" t="s">
        <v>194</v>
      </c>
      <c r="I21" s="133" t="s">
        <v>194</v>
      </c>
      <c r="J21" s="133"/>
      <c r="K21" s="133"/>
    </row>
    <row r="22" spans="1:11" x14ac:dyDescent="0.25">
      <c r="A22" s="52" t="s">
        <v>136</v>
      </c>
      <c r="B22" s="133" t="s">
        <v>194</v>
      </c>
      <c r="C22" s="133" t="s">
        <v>194</v>
      </c>
      <c r="D22" s="133" t="s">
        <v>194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194</v>
      </c>
      <c r="D23" s="133"/>
      <c r="E23" s="133"/>
      <c r="F23" s="133"/>
      <c r="G23" s="133"/>
      <c r="H23" s="133"/>
      <c r="I23" s="133" t="s">
        <v>194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194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194</v>
      </c>
      <c r="I25" s="133"/>
      <c r="J25" s="133"/>
      <c r="K25" s="133"/>
    </row>
    <row r="26" spans="1:11" x14ac:dyDescent="0.25">
      <c r="A26" s="52" t="s">
        <v>137</v>
      </c>
      <c r="B26" s="133"/>
      <c r="C26" s="133" t="s">
        <v>194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194</v>
      </c>
      <c r="D27" s="133"/>
      <c r="E27" s="133"/>
      <c r="F27" s="133"/>
      <c r="G27" s="133"/>
      <c r="H27" s="133"/>
      <c r="I27" s="133" t="s">
        <v>194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194</v>
      </c>
      <c r="I28" s="133"/>
      <c r="J28" s="133"/>
      <c r="K28" s="133"/>
    </row>
    <row r="29" spans="1:11" x14ac:dyDescent="0.25">
      <c r="A29" s="52" t="s">
        <v>58</v>
      </c>
      <c r="B29" s="133" t="s">
        <v>194</v>
      </c>
      <c r="C29" s="133"/>
      <c r="D29" s="133" t="s">
        <v>194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67</v>
      </c>
      <c r="B30" s="133"/>
      <c r="C30" s="133"/>
      <c r="D30" s="133"/>
      <c r="E30" s="133" t="s">
        <v>194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28</v>
      </c>
      <c r="B31" s="133"/>
      <c r="C31" s="133"/>
      <c r="D31" s="133"/>
      <c r="E31" s="133"/>
      <c r="F31" s="133"/>
      <c r="G31" s="133" t="s">
        <v>194</v>
      </c>
      <c r="H31" s="133" t="s">
        <v>194</v>
      </c>
      <c r="I31" s="133"/>
      <c r="J31" s="133"/>
      <c r="K31" s="133"/>
    </row>
    <row r="32" spans="1:11" x14ac:dyDescent="0.25">
      <c r="A32" s="52" t="s">
        <v>83</v>
      </c>
      <c r="B32" s="133"/>
      <c r="C32" s="133"/>
      <c r="D32" s="133"/>
      <c r="E32" s="133"/>
      <c r="F32" s="133"/>
      <c r="G32" s="133" t="s">
        <v>194</v>
      </c>
      <c r="H32" s="133" t="s">
        <v>194</v>
      </c>
      <c r="I32" s="133"/>
      <c r="J32" s="133"/>
      <c r="K32" s="133"/>
    </row>
    <row r="33" spans="1:11" x14ac:dyDescent="0.25">
      <c r="A33" s="52" t="s">
        <v>82</v>
      </c>
      <c r="B33" s="133"/>
      <c r="C33" s="133"/>
      <c r="D33" s="133"/>
      <c r="E33" s="133"/>
      <c r="F33" s="133"/>
      <c r="G33" s="133" t="s">
        <v>194</v>
      </c>
      <c r="H33" s="133" t="s">
        <v>194</v>
      </c>
      <c r="I33" s="133"/>
      <c r="J33" s="133"/>
      <c r="K33" s="133"/>
    </row>
    <row r="34" spans="1:11" x14ac:dyDescent="0.25">
      <c r="A34" s="52" t="s">
        <v>81</v>
      </c>
      <c r="B34" s="133"/>
      <c r="C34" s="133"/>
      <c r="D34" s="133"/>
      <c r="E34" s="133"/>
      <c r="F34" s="133"/>
      <c r="G34" s="133" t="s">
        <v>194</v>
      </c>
      <c r="H34" s="133" t="s">
        <v>194</v>
      </c>
      <c r="I34" s="133"/>
      <c r="J34" s="133"/>
      <c r="K34" s="133"/>
    </row>
    <row r="35" spans="1:11" x14ac:dyDescent="0.25">
      <c r="A35" s="52" t="s">
        <v>79</v>
      </c>
      <c r="B35" s="133"/>
      <c r="C35" s="133"/>
      <c r="D35" s="133"/>
      <c r="E35" s="133"/>
      <c r="F35" s="133"/>
      <c r="G35" s="133" t="s">
        <v>194</v>
      </c>
      <c r="H35" s="133" t="s">
        <v>194</v>
      </c>
      <c r="I35" s="133"/>
      <c r="J35" s="133"/>
      <c r="K35" s="133"/>
    </row>
    <row r="36" spans="1:11" x14ac:dyDescent="0.25">
      <c r="A36" s="52" t="s">
        <v>80</v>
      </c>
      <c r="B36" s="133"/>
      <c r="C36" s="133"/>
      <c r="D36" s="133"/>
      <c r="E36" s="133"/>
      <c r="F36" s="133"/>
      <c r="G36" s="133" t="s">
        <v>194</v>
      </c>
      <c r="H36" s="133" t="s">
        <v>194</v>
      </c>
      <c r="I36" s="133"/>
      <c r="J36" s="133"/>
      <c r="K36" s="133"/>
    </row>
    <row r="37" spans="1:11" x14ac:dyDescent="0.25">
      <c r="A37" s="52" t="s">
        <v>85</v>
      </c>
      <c r="B37" s="133"/>
      <c r="C37" s="133"/>
      <c r="D37" s="133"/>
      <c r="E37" s="133"/>
      <c r="F37" s="133"/>
      <c r="G37" s="133"/>
      <c r="H37" s="133" t="s">
        <v>194</v>
      </c>
      <c r="I37" s="133"/>
      <c r="J37" s="133"/>
      <c r="K37" s="133"/>
    </row>
    <row r="38" spans="1:11" x14ac:dyDescent="0.25">
      <c r="A38" s="52" t="s">
        <v>60</v>
      </c>
      <c r="B38" s="133" t="s">
        <v>194</v>
      </c>
      <c r="C38" s="133"/>
      <c r="D38" s="133"/>
      <c r="E38" s="133"/>
      <c r="F38" s="133"/>
      <c r="G38" s="133" t="s">
        <v>194</v>
      </c>
      <c r="H38" s="133" t="s">
        <v>194</v>
      </c>
      <c r="I38" s="133"/>
      <c r="J38" s="133"/>
      <c r="K38" s="133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216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35" t="s">
        <v>1</v>
      </c>
      <c r="B2" s="133" t="s">
        <v>194</v>
      </c>
      <c r="C2" s="133" t="s">
        <v>194</v>
      </c>
      <c r="D2" s="133" t="s">
        <v>194</v>
      </c>
      <c r="E2" s="133" t="s">
        <v>194</v>
      </c>
      <c r="F2" s="133" t="s">
        <v>194</v>
      </c>
      <c r="G2" s="133" t="s">
        <v>194</v>
      </c>
      <c r="H2" s="133" t="s">
        <v>194</v>
      </c>
      <c r="I2" s="133"/>
      <c r="J2" s="133"/>
      <c r="K2" s="133"/>
    </row>
    <row r="3" spans="1:11" x14ac:dyDescent="0.25">
      <c r="A3" s="35" t="s">
        <v>2</v>
      </c>
      <c r="B3" s="133" t="s">
        <v>194</v>
      </c>
      <c r="C3" s="133" t="s">
        <v>194</v>
      </c>
      <c r="D3" s="133" t="s">
        <v>194</v>
      </c>
      <c r="E3" s="133" t="s">
        <v>194</v>
      </c>
      <c r="F3" s="133" t="s">
        <v>194</v>
      </c>
      <c r="G3" s="133" t="s">
        <v>194</v>
      </c>
      <c r="H3" s="133" t="s">
        <v>194</v>
      </c>
      <c r="I3" s="133"/>
      <c r="J3" s="133"/>
      <c r="K3" s="133"/>
    </row>
    <row r="4" spans="1:11" x14ac:dyDescent="0.25">
      <c r="A4" s="35" t="s">
        <v>3</v>
      </c>
      <c r="B4" s="133" t="s">
        <v>194</v>
      </c>
      <c r="C4" s="133" t="s">
        <v>194</v>
      </c>
      <c r="D4" s="133" t="s">
        <v>194</v>
      </c>
      <c r="E4" s="133" t="s">
        <v>194</v>
      </c>
      <c r="F4" s="133" t="s">
        <v>194</v>
      </c>
      <c r="G4" s="133" t="s">
        <v>194</v>
      </c>
      <c r="H4" s="133" t="s">
        <v>194</v>
      </c>
      <c r="I4" s="133"/>
      <c r="J4" s="133"/>
      <c r="K4" s="133"/>
    </row>
    <row r="5" spans="1:11" x14ac:dyDescent="0.25">
      <c r="A5" s="35" t="s">
        <v>4</v>
      </c>
      <c r="B5" s="133" t="s">
        <v>194</v>
      </c>
      <c r="C5" s="133" t="s">
        <v>194</v>
      </c>
      <c r="D5" s="133" t="s">
        <v>194</v>
      </c>
      <c r="E5" s="133" t="s">
        <v>194</v>
      </c>
      <c r="F5" s="133" t="s">
        <v>194</v>
      </c>
      <c r="G5" s="133" t="s">
        <v>194</v>
      </c>
      <c r="H5" s="133" t="s">
        <v>194</v>
      </c>
      <c r="I5" s="133"/>
      <c r="J5" s="133"/>
      <c r="K5" s="133"/>
    </row>
    <row r="6" spans="1:11" x14ac:dyDescent="0.25">
      <c r="A6" s="35" t="s">
        <v>5</v>
      </c>
      <c r="B6" s="133" t="s">
        <v>194</v>
      </c>
      <c r="C6" s="133" t="s">
        <v>194</v>
      </c>
      <c r="D6" s="133" t="s">
        <v>194</v>
      </c>
      <c r="E6" s="133" t="s">
        <v>194</v>
      </c>
      <c r="F6" s="133" t="s">
        <v>194</v>
      </c>
      <c r="G6" s="133" t="s">
        <v>194</v>
      </c>
      <c r="H6" s="133" t="s">
        <v>194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 t="s">
        <v>194</v>
      </c>
      <c r="J7" s="133"/>
      <c r="K7" s="133"/>
    </row>
    <row r="8" spans="1:11" x14ac:dyDescent="0.25">
      <c r="A8" s="35" t="s">
        <v>54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 t="s">
        <v>194</v>
      </c>
      <c r="J8" s="133"/>
      <c r="K8" s="133"/>
    </row>
    <row r="9" spans="1:11" x14ac:dyDescent="0.25">
      <c r="A9" s="35" t="s">
        <v>55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 t="s">
        <v>194</v>
      </c>
      <c r="J9" s="133"/>
      <c r="K9" s="133"/>
    </row>
    <row r="10" spans="1:11" x14ac:dyDescent="0.25">
      <c r="A10" s="35" t="s">
        <v>56</v>
      </c>
      <c r="B10" s="133"/>
      <c r="C10" s="133" t="s">
        <v>194</v>
      </c>
      <c r="D10" s="133"/>
      <c r="E10" s="133"/>
      <c r="F10" s="133"/>
      <c r="G10" s="133"/>
      <c r="H10" s="133" t="s">
        <v>194</v>
      </c>
      <c r="I10" s="133" t="s">
        <v>194</v>
      </c>
      <c r="J10" s="133"/>
      <c r="K10" s="133"/>
    </row>
    <row r="11" spans="1:11" x14ac:dyDescent="0.25">
      <c r="A11" s="35" t="s">
        <v>49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 t="s">
        <v>194</v>
      </c>
      <c r="K11" s="133" t="s">
        <v>194</v>
      </c>
    </row>
    <row r="12" spans="1:11" x14ac:dyDescent="0.25">
      <c r="A12" s="35" t="s">
        <v>50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 t="s">
        <v>194</v>
      </c>
    </row>
    <row r="13" spans="1:11" x14ac:dyDescent="0.25">
      <c r="A13" s="35" t="s">
        <v>51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 t="s">
        <v>194</v>
      </c>
    </row>
    <row r="14" spans="1:11" x14ac:dyDescent="0.25">
      <c r="A14" s="35" t="s">
        <v>52</v>
      </c>
      <c r="B14" s="133"/>
      <c r="C14" s="133" t="s">
        <v>194</v>
      </c>
      <c r="D14" s="133"/>
      <c r="E14" s="133"/>
      <c r="F14" s="133"/>
      <c r="G14" s="133"/>
      <c r="H14" s="133"/>
      <c r="I14" s="133"/>
      <c r="J14" s="133"/>
      <c r="K14" s="133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217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x14ac:dyDescent="0.25">
      <c r="A2" s="40" t="s">
        <v>218</v>
      </c>
      <c r="B2" s="138" t="s">
        <v>32</v>
      </c>
      <c r="C2" s="35" t="s">
        <v>176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175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174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</v>
      </c>
      <c r="C5" s="35" t="s">
        <v>176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175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174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2</v>
      </c>
      <c r="C8" s="35" t="s">
        <v>176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175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174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3</v>
      </c>
      <c r="C11" s="35" t="s">
        <v>176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175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174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4</v>
      </c>
      <c r="C14" s="35" t="s">
        <v>176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175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174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172</v>
      </c>
      <c r="C17" s="35" t="s">
        <v>174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219</v>
      </c>
      <c r="B19" s="138" t="s">
        <v>32</v>
      </c>
      <c r="C19" s="35" t="s">
        <v>176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175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174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</v>
      </c>
      <c r="C22" s="35" t="s">
        <v>176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175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174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2</v>
      </c>
      <c r="C25" s="35" t="s">
        <v>176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175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174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3</v>
      </c>
      <c r="C28" s="35" t="s">
        <v>176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175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174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4</v>
      </c>
      <c r="C31" s="35" t="s">
        <v>176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175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174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172</v>
      </c>
      <c r="C34" s="35" t="s">
        <v>174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220</v>
      </c>
      <c r="B36" s="138" t="s">
        <v>32</v>
      </c>
      <c r="C36" s="35" t="s">
        <v>176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175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174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</v>
      </c>
      <c r="C39" s="35" t="s">
        <v>176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175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174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2</v>
      </c>
      <c r="C42" s="35" t="s">
        <v>176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175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174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3</v>
      </c>
      <c r="C45" s="35" t="s">
        <v>176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175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174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4</v>
      </c>
      <c r="C48" s="35" t="s">
        <v>176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175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174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5">
      <c r="B51" s="98" t="s">
        <v>172</v>
      </c>
      <c r="C51" s="35" t="s">
        <v>174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221</v>
      </c>
    </row>
    <row r="2" spans="1:7" ht="15.75" customHeight="1" x14ac:dyDescent="0.25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25">
      <c r="A3" s="40" t="s">
        <v>222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223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224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225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226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227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228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229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230</v>
      </c>
    </row>
    <row r="2" spans="1:16" x14ac:dyDescent="0.25">
      <c r="A2" s="118" t="s">
        <v>211</v>
      </c>
      <c r="B2" s="119" t="s">
        <v>231</v>
      </c>
      <c r="C2" s="119" t="s">
        <v>232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71</v>
      </c>
      <c r="C3" s="43" t="s">
        <v>233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234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235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236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233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234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235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236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233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234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235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236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233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234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235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236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233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234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235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236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233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234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235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236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237</v>
      </c>
    </row>
    <row r="29" spans="1:16" s="36" customFormat="1" x14ac:dyDescent="0.25">
      <c r="A29" s="121" t="s">
        <v>238</v>
      </c>
      <c r="B29" s="94" t="s">
        <v>231</v>
      </c>
      <c r="C29" s="94" t="s">
        <v>239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71</v>
      </c>
      <c r="C30" s="43" t="s">
        <v>233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234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233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234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233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234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233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234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233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234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233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234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240</v>
      </c>
    </row>
    <row r="56" spans="1:16" s="36" customFormat="1" ht="26.4" x14ac:dyDescent="0.25">
      <c r="A56" s="121" t="s">
        <v>70</v>
      </c>
      <c r="B56" s="94" t="s">
        <v>231</v>
      </c>
      <c r="C56" s="123" t="s">
        <v>241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38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244</v>
      </c>
    </row>
    <row r="65" spans="1:16" s="36" customFormat="1" ht="26.4" x14ac:dyDescent="0.25">
      <c r="A65" s="121" t="s">
        <v>24</v>
      </c>
      <c r="B65" s="94" t="s">
        <v>231</v>
      </c>
      <c r="C65" s="123" t="s">
        <v>245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73</v>
      </c>
      <c r="C66" s="43" t="s">
        <v>166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167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168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169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166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167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168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169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166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167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168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169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166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167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168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169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166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167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168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169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166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167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168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169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166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167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168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169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166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167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168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169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166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167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168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169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246</v>
      </c>
    </row>
    <row r="104" spans="1:16" s="36" customFormat="1" ht="26.4" x14ac:dyDescent="0.25">
      <c r="A104" s="121" t="s">
        <v>71</v>
      </c>
      <c r="B104" s="126" t="s">
        <v>169</v>
      </c>
      <c r="C104" s="123" t="s">
        <v>245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166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167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168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169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247</v>
      </c>
    </row>
    <row r="2" spans="1:7" ht="14.25" customHeight="1" x14ac:dyDescent="0.25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248</v>
      </c>
      <c r="C3" s="136" t="s">
        <v>249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251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136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60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25">
      <c r="A10" s="99" t="s">
        <v>252</v>
      </c>
    </row>
    <row r="11" spans="1:7" ht="14.25" customHeight="1" x14ac:dyDescent="0.25">
      <c r="A11" s="104"/>
      <c r="B11" s="113" t="s">
        <v>195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5">
      <c r="A12" s="104"/>
      <c r="B12" s="113"/>
    </row>
    <row r="13" spans="1:7" s="100" customFormat="1" ht="14.25" customHeight="1" x14ac:dyDescent="0.25">
      <c r="A13" s="99" t="s">
        <v>253</v>
      </c>
    </row>
    <row r="14" spans="1:7" ht="14.25" customHeight="1" x14ac:dyDescent="0.25">
      <c r="A14" s="125" t="s">
        <v>238</v>
      </c>
      <c r="B14" s="117" t="s">
        <v>254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5">
      <c r="A15" s="40"/>
      <c r="B15" s="117" t="s">
        <v>255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125" t="s">
        <v>70</v>
      </c>
      <c r="B16" s="113" t="s">
        <v>256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25">
      <c r="A18" s="99" t="s">
        <v>257</v>
      </c>
    </row>
    <row r="19" spans="1:6" s="104" customFormat="1" ht="14.25" customHeight="1" x14ac:dyDescent="0.25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13" t="s">
        <v>197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F20"/>
  <sheetViews>
    <sheetView workbookViewId="0">
      <selection activeCell="F8" sqref="F8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187</v>
      </c>
      <c r="B4" s="90" t="s">
        <v>258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207</v>
      </c>
      <c r="B6" s="90" t="s">
        <v>258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258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O28"/>
  <sheetViews>
    <sheetView topLeftCell="G1" workbookViewId="0">
      <selection activeCell="F8" sqref="F8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x14ac:dyDescent="0.25">
      <c r="A2" s="40" t="s">
        <v>260</v>
      </c>
    </row>
    <row r="3" spans="1:15" x14ac:dyDescent="0.25">
      <c r="B3" s="59" t="s">
        <v>149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188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206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190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187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207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136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137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5">
      <c r="A16" s="40" t="s">
        <v>261</v>
      </c>
      <c r="B16" s="59"/>
    </row>
    <row r="17" spans="2:15" x14ac:dyDescent="0.25">
      <c r="B17" s="90" t="s">
        <v>63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64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62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47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G5"/>
  <sheetViews>
    <sheetView workbookViewId="0">
      <selection activeCell="F8" sqref="F8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262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263</v>
      </c>
      <c r="B4" s="59"/>
      <c r="C4" s="127"/>
      <c r="D4" s="127"/>
      <c r="E4" s="127"/>
      <c r="F4" s="127"/>
      <c r="G4" s="127"/>
    </row>
    <row r="5" spans="1:7" x14ac:dyDescent="0.25">
      <c r="B5" s="90" t="s">
        <v>183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264</v>
      </c>
      <c r="C1" s="125" t="s">
        <v>265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266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267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268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58</v>
      </c>
      <c r="B5" s="52" t="s">
        <v>66</v>
      </c>
      <c r="C5" s="52" t="s">
        <v>266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268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65</v>
      </c>
      <c r="C7" s="52" t="s">
        <v>266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268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136</v>
      </c>
      <c r="B9" s="52" t="s">
        <v>66</v>
      </c>
      <c r="C9" s="52" t="s">
        <v>266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268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65</v>
      </c>
      <c r="C11" s="52" t="s">
        <v>266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268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61</v>
      </c>
      <c r="B13" s="52" t="s">
        <v>66</v>
      </c>
      <c r="C13" s="52" t="s">
        <v>266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268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65</v>
      </c>
      <c r="C15" s="52" t="s">
        <v>266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268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266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267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266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267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64</v>
      </c>
      <c r="B21" s="52" t="s">
        <v>27</v>
      </c>
      <c r="C21" s="52" t="s">
        <v>266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267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79</v>
      </c>
      <c r="B23" s="52" t="s">
        <v>71</v>
      </c>
      <c r="C23" s="52" t="s">
        <v>266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267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268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80</v>
      </c>
      <c r="B26" s="52" t="s">
        <v>71</v>
      </c>
      <c r="C26" s="52" t="s">
        <v>266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268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81</v>
      </c>
      <c r="B29" s="52" t="s">
        <v>71</v>
      </c>
      <c r="C29" s="52" t="s">
        <v>266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267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268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82</v>
      </c>
      <c r="B32" s="52" t="s">
        <v>71</v>
      </c>
      <c r="C32" s="52" t="s">
        <v>266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267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268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83</v>
      </c>
      <c r="B35" s="52" t="s">
        <v>71</v>
      </c>
      <c r="C35" s="52" t="s">
        <v>266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267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268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60</v>
      </c>
      <c r="B38" s="52" t="s">
        <v>71</v>
      </c>
      <c r="C38" s="52" t="s">
        <v>266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267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268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16</v>
      </c>
      <c r="C41" s="52" t="s">
        <v>266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267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268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84</v>
      </c>
      <c r="B44" s="52" t="s">
        <v>71</v>
      </c>
      <c r="C44" s="52" t="s">
        <v>266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267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85</v>
      </c>
      <c r="B46" s="52" t="s">
        <v>71</v>
      </c>
      <c r="C46" s="52" t="s">
        <v>266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267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195</v>
      </c>
      <c r="B48" s="52" t="s">
        <v>13</v>
      </c>
      <c r="C48" s="52" t="s">
        <v>266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267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H7"/>
  <sheetViews>
    <sheetView workbookViewId="0">
      <selection activeCell="F8" sqref="F8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69</v>
      </c>
      <c r="B1" s="119" t="s">
        <v>264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266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267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266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267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266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267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2020-06-17T04:30:12Z</dcterms:modified>
</cp:coreProperties>
</file>