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8Jan/"/>
    </mc:Choice>
  </mc:AlternateContent>
  <xr:revisionPtr revIDLastSave="0" documentId="13_ncr:1_{ECA07A42-C2C9-A240-9928-FAE9E0FEACAD}" xr6:coauthVersionLast="28" xr6:coauthVersionMax="28" xr10:uidLastSave="{00000000-0000-0000-0000-000000000000}"/>
  <bookViews>
    <workbookView xWindow="1740" yWindow="-21140" windowWidth="30480" windowHeight="21140" firstSheet="25" activeTab="31" xr2:uid="{9CA16DF4-3AE6-9240-921D-580CF0357D1B}"/>
  </bookViews>
  <sheets>
    <sheet name="Baseline year demographics" sheetId="1" r:id="rId1"/>
    <sheet name="Demographic projections" sheetId="2" r:id="rId2"/>
    <sheet name="Annual prevalence" sheetId="52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s data" sheetId="50" r:id="rId8"/>
    <sheet name="Distribution births" sheetId="42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emia" sheetId="30" r:id="rId18"/>
    <sheet name="Programs wasting" sheetId="31" r:id="rId19"/>
    <sheet name="Programs for children" sheetId="28" r:id="rId20"/>
    <sheet name="Programs family planning" sheetId="34" r:id="rId21"/>
    <sheet name="Programs for PW" sheetId="45" r:id="rId22"/>
    <sheet name="Programs birth age" sheetId="46" r:id="rId23"/>
    <sheet name="Programs target population" sheetId="21" r:id="rId24"/>
    <sheet name="Programs impacted population" sheetId="47" r:id="rId25"/>
    <sheet name="Program dependencies" sheetId="40" r:id="rId26"/>
    <sheet name="Program risk areas" sheetId="36" r:id="rId27"/>
    <sheet name="Population risk areas" sheetId="43" r:id="rId28"/>
    <sheet name="Programs cost and coverage" sheetId="20" r:id="rId29"/>
    <sheet name="Programs annual spending" sheetId="51" r:id="rId30"/>
    <sheet name="Reference programs" sheetId="49" r:id="rId31"/>
    <sheet name="Programs to include" sheetId="44" r:id="rId3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0" i="21" l="1"/>
  <c r="C18" i="1" l="1"/>
  <c r="K26" i="52" l="1"/>
  <c r="K25" i="52"/>
  <c r="K24" i="52"/>
  <c r="K23" i="52"/>
  <c r="K22" i="52"/>
  <c r="K21" i="52"/>
  <c r="K20" i="52"/>
  <c r="K19" i="52"/>
  <c r="K18" i="52"/>
  <c r="K17" i="52"/>
  <c r="K16" i="52"/>
  <c r="K15" i="52"/>
  <c r="K14" i="52"/>
  <c r="K12" i="52"/>
  <c r="K11" i="52"/>
  <c r="K10" i="52"/>
  <c r="K9" i="52"/>
  <c r="K8" i="52"/>
  <c r="K6" i="52"/>
  <c r="J6" i="52"/>
  <c r="I6" i="52"/>
  <c r="H6" i="52"/>
  <c r="G6" i="52"/>
  <c r="F6" i="52"/>
  <c r="E6" i="52"/>
  <c r="D6" i="52"/>
  <c r="C6" i="52"/>
  <c r="K5" i="52"/>
  <c r="J5" i="52"/>
  <c r="I5" i="52"/>
  <c r="H5" i="52"/>
  <c r="G5" i="52"/>
  <c r="F5" i="52"/>
  <c r="E5" i="52"/>
  <c r="D5" i="52"/>
  <c r="C5" i="52"/>
  <c r="K4" i="52"/>
  <c r="J4" i="52"/>
  <c r="I4" i="52"/>
  <c r="H4" i="52"/>
  <c r="G4" i="52"/>
  <c r="F4" i="52"/>
  <c r="E4" i="52"/>
  <c r="D4" i="52"/>
  <c r="C4" i="52"/>
  <c r="K3" i="52"/>
  <c r="J3" i="52"/>
  <c r="I3" i="52"/>
  <c r="H3" i="52"/>
  <c r="G3" i="52"/>
  <c r="F3" i="52"/>
  <c r="E3" i="52"/>
  <c r="D3" i="52"/>
  <c r="C3" i="52"/>
  <c r="K2" i="52"/>
  <c r="J2" i="52"/>
  <c r="I2" i="52"/>
  <c r="H2" i="52"/>
  <c r="G2" i="52"/>
  <c r="F2" i="52"/>
  <c r="E2" i="52"/>
  <c r="D2" i="52"/>
  <c r="C2" i="52"/>
  <c r="A106" i="51"/>
  <c r="A104" i="51"/>
  <c r="A102" i="51"/>
  <c r="A100" i="51"/>
  <c r="A101" i="51" s="1"/>
  <c r="A98" i="51"/>
  <c r="A96" i="51"/>
  <c r="A94" i="51"/>
  <c r="A92" i="51"/>
  <c r="A93" i="51" s="1"/>
  <c r="A90" i="51"/>
  <c r="A88" i="51"/>
  <c r="A86" i="51"/>
  <c r="A84" i="51"/>
  <c r="A85" i="51" s="1"/>
  <c r="A82" i="51"/>
  <c r="A80" i="51"/>
  <c r="A78" i="51"/>
  <c r="A76" i="51"/>
  <c r="A77" i="51" s="1"/>
  <c r="A74" i="51"/>
  <c r="A72" i="51"/>
  <c r="A70" i="51"/>
  <c r="A68" i="51"/>
  <c r="A69" i="51" s="1"/>
  <c r="A66" i="51"/>
  <c r="A64" i="51"/>
  <c r="A62" i="51"/>
  <c r="A60" i="51"/>
  <c r="A61" i="51" s="1"/>
  <c r="A58" i="51"/>
  <c r="A56" i="51"/>
  <c r="A54" i="51"/>
  <c r="A52" i="51"/>
  <c r="A53" i="51" s="1"/>
  <c r="A50" i="51"/>
  <c r="A48" i="51"/>
  <c r="A46" i="51"/>
  <c r="A44" i="51"/>
  <c r="A45" i="51" s="1"/>
  <c r="A42" i="51"/>
  <c r="A40" i="51"/>
  <c r="A38" i="51"/>
  <c r="A36" i="51"/>
  <c r="A37" i="51" s="1"/>
  <c r="A34" i="51"/>
  <c r="A32" i="51"/>
  <c r="A30" i="51"/>
  <c r="A28" i="51"/>
  <c r="A29" i="51" s="1"/>
  <c r="A26" i="51"/>
  <c r="A24" i="51"/>
  <c r="A22" i="51"/>
  <c r="A20" i="51"/>
  <c r="A21" i="51" s="1"/>
  <c r="A18" i="51"/>
  <c r="A16" i="51"/>
  <c r="A14" i="51"/>
  <c r="A12" i="51"/>
  <c r="A13" i="51" s="1"/>
  <c r="A10" i="51"/>
  <c r="A8" i="51"/>
  <c r="A6" i="51"/>
  <c r="A4" i="51"/>
  <c r="A5" i="51" s="1"/>
  <c r="A2" i="51"/>
  <c r="C1" i="51"/>
  <c r="A107" i="51"/>
  <c r="A105" i="51"/>
  <c r="A103" i="51"/>
  <c r="A99" i="51"/>
  <c r="A97" i="51"/>
  <c r="A95" i="51"/>
  <c r="A91" i="51"/>
  <c r="A89" i="51"/>
  <c r="A87" i="51"/>
  <c r="A83" i="51"/>
  <c r="A81" i="51"/>
  <c r="A79" i="51"/>
  <c r="A75" i="51"/>
  <c r="A73" i="51"/>
  <c r="A71" i="51"/>
  <c r="A67" i="51"/>
  <c r="A65" i="51"/>
  <c r="A63" i="51"/>
  <c r="A59" i="51"/>
  <c r="A57" i="51"/>
  <c r="A55" i="51"/>
  <c r="A51" i="51"/>
  <c r="A49" i="51"/>
  <c r="A47" i="51"/>
  <c r="A43" i="51"/>
  <c r="A41" i="51"/>
  <c r="A39" i="51"/>
  <c r="A35" i="51"/>
  <c r="A33" i="51"/>
  <c r="A31" i="51"/>
  <c r="A27" i="51"/>
  <c r="A25" i="51"/>
  <c r="A23" i="51"/>
  <c r="A19" i="51"/>
  <c r="A17" i="51"/>
  <c r="A15" i="51"/>
  <c r="A11" i="51"/>
  <c r="A9" i="51"/>
  <c r="A7" i="51"/>
  <c r="A3" i="51"/>
  <c r="D1" i="51"/>
  <c r="E1" i="51" s="1"/>
  <c r="F1" i="51" s="1"/>
  <c r="G1" i="51" s="1"/>
  <c r="H1" i="51" s="1"/>
  <c r="I1" i="51" s="1"/>
  <c r="J1" i="51" s="1"/>
  <c r="K1" i="51" s="1"/>
  <c r="L1" i="51" s="1"/>
  <c r="M1" i="51" s="1"/>
  <c r="N1" i="51" s="1"/>
  <c r="O1" i="51" s="1"/>
  <c r="P1" i="51" s="1"/>
  <c r="D14" i="5" l="1"/>
  <c r="F11" i="5"/>
  <c r="D2" i="5" l="1"/>
  <c r="E2" i="5"/>
  <c r="F2" i="5"/>
  <c r="G2" i="5"/>
  <c r="D3" i="5"/>
  <c r="E3" i="5"/>
  <c r="F3" i="5"/>
  <c r="G3" i="5"/>
  <c r="C3" i="5"/>
  <c r="C2" i="5"/>
  <c r="F15" i="5" l="1"/>
  <c r="F16" i="5"/>
  <c r="F17" i="5"/>
  <c r="F14" i="5"/>
  <c r="E15" i="5"/>
  <c r="E16" i="5"/>
  <c r="E17" i="5"/>
  <c r="E14" i="5"/>
  <c r="D16" i="5"/>
  <c r="D17" i="5"/>
  <c r="D15" i="5"/>
  <c r="C15" i="5"/>
  <c r="C16" i="5"/>
  <c r="C17" i="5"/>
  <c r="C14" i="5"/>
  <c r="H16" i="50"/>
  <c r="G16" i="50"/>
  <c r="F18" i="50"/>
  <c r="G18" i="50"/>
  <c r="H18" i="50"/>
  <c r="I18" i="50"/>
  <c r="F16" i="50"/>
  <c r="E18" i="50"/>
  <c r="E16" i="50"/>
  <c r="D18" i="50"/>
  <c r="G11" i="5"/>
  <c r="F6" i="7" s="1"/>
  <c r="E11" i="5"/>
  <c r="E10" i="5" s="1"/>
  <c r="D11" i="5"/>
  <c r="D10" i="5" s="1"/>
  <c r="C11" i="5"/>
  <c r="C10" i="5" s="1"/>
  <c r="B5" i="7" s="1"/>
  <c r="F10" i="5"/>
  <c r="E5" i="7" s="1"/>
  <c r="B6" i="7"/>
  <c r="G5" i="5"/>
  <c r="G4" i="5" s="1"/>
  <c r="F5" i="5"/>
  <c r="F4" i="5" s="1"/>
  <c r="E5" i="5"/>
  <c r="E4" i="5" s="1"/>
  <c r="C5" i="5"/>
  <c r="C4" i="5" s="1"/>
  <c r="D5" i="5"/>
  <c r="D4" i="5" s="1"/>
  <c r="E8" i="21"/>
  <c r="F8" i="21"/>
  <c r="C49" i="21"/>
  <c r="O52" i="21"/>
  <c r="N52" i="21"/>
  <c r="M52" i="21"/>
  <c r="L52" i="21"/>
  <c r="K52" i="21"/>
  <c r="J52" i="21"/>
  <c r="I52" i="21"/>
  <c r="H52" i="21"/>
  <c r="G52" i="21"/>
  <c r="F52" i="21"/>
  <c r="E52" i="21"/>
  <c r="O51" i="21"/>
  <c r="N51" i="21"/>
  <c r="M51" i="21"/>
  <c r="L51" i="21"/>
  <c r="K51" i="21"/>
  <c r="J51" i="21"/>
  <c r="I51" i="21"/>
  <c r="H51" i="21"/>
  <c r="G51" i="21"/>
  <c r="F51" i="21"/>
  <c r="E51" i="21"/>
  <c r="O50" i="21"/>
  <c r="N50" i="21"/>
  <c r="M50" i="21"/>
  <c r="L50" i="21"/>
  <c r="K50" i="21"/>
  <c r="J50" i="21"/>
  <c r="I50" i="21"/>
  <c r="H50" i="21"/>
  <c r="G50" i="21"/>
  <c r="F50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I20" i="21"/>
  <c r="J20" i="21"/>
  <c r="K20" i="21"/>
  <c r="H20" i="21"/>
  <c r="I19" i="21"/>
  <c r="J19" i="21"/>
  <c r="K19" i="21"/>
  <c r="H19" i="21"/>
  <c r="I18" i="21"/>
  <c r="J18" i="21"/>
  <c r="K18" i="21"/>
  <c r="H18" i="21"/>
  <c r="I17" i="21"/>
  <c r="J17" i="21"/>
  <c r="K17" i="21"/>
  <c r="H17" i="21"/>
  <c r="I16" i="21"/>
  <c r="J16" i="21"/>
  <c r="K16" i="21"/>
  <c r="H16" i="21"/>
  <c r="I15" i="21"/>
  <c r="J15" i="21"/>
  <c r="K15" i="21"/>
  <c r="H15" i="21"/>
  <c r="D11" i="21"/>
  <c r="E11" i="21"/>
  <c r="F11" i="21"/>
  <c r="G11" i="21"/>
  <c r="G10" i="21"/>
  <c r="F10" i="21"/>
  <c r="E10" i="21"/>
  <c r="F9" i="21"/>
  <c r="G9" i="21"/>
  <c r="E9" i="21"/>
  <c r="E7" i="21"/>
  <c r="F7" i="21"/>
  <c r="F6" i="21"/>
  <c r="E6" i="2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F5" i="29"/>
  <c r="F6" i="29"/>
  <c r="F3" i="29" s="1"/>
  <c r="F2" i="29" s="1"/>
  <c r="G5" i="29"/>
  <c r="G6" i="29"/>
  <c r="G3" i="29" s="1"/>
  <c r="G2" i="29" s="1"/>
  <c r="H5" i="29"/>
  <c r="H6" i="29"/>
  <c r="I5" i="29"/>
  <c r="I6" i="29"/>
  <c r="I3" i="29" s="1"/>
  <c r="I2" i="29" s="1"/>
  <c r="J5" i="29"/>
  <c r="J6" i="29"/>
  <c r="K6" i="29"/>
  <c r="L6" i="29"/>
  <c r="L3" i="29" s="1"/>
  <c r="L2" i="29" s="1"/>
  <c r="M6" i="29"/>
  <c r="N6" i="29"/>
  <c r="O6" i="29"/>
  <c r="E6" i="29"/>
  <c r="E3" i="29" s="1"/>
  <c r="E2" i="29" s="1"/>
  <c r="C6" i="1"/>
  <c r="C45" i="1"/>
  <c r="C39" i="1"/>
  <c r="E2" i="46"/>
  <c r="D2" i="46"/>
  <c r="C2" i="46"/>
  <c r="O3" i="29"/>
  <c r="O2" i="29"/>
  <c r="D3" i="29"/>
  <c r="D2" i="29"/>
  <c r="H3" i="29"/>
  <c r="H2" i="29"/>
  <c r="J3" i="29"/>
  <c r="J2" i="29"/>
  <c r="K3" i="29"/>
  <c r="K2" i="29"/>
  <c r="M3" i="29"/>
  <c r="M2" i="29"/>
  <c r="N3" i="29"/>
  <c r="N2" i="29"/>
  <c r="C3" i="29"/>
  <c r="C2" i="29"/>
  <c r="C46" i="1"/>
  <c r="C40" i="1"/>
  <c r="C47" i="1"/>
  <c r="C41" i="1"/>
  <c r="C48" i="1"/>
  <c r="C42" i="1"/>
  <c r="E2" i="34"/>
  <c r="E3" i="34"/>
  <c r="E4" i="34"/>
  <c r="E5" i="34"/>
  <c r="E6" i="34"/>
  <c r="E7" i="34"/>
  <c r="E8" i="34"/>
  <c r="E9" i="34"/>
  <c r="E10" i="34"/>
  <c r="D6" i="20"/>
  <c r="C12" i="35"/>
  <c r="C11" i="35"/>
  <c r="C10" i="35"/>
  <c r="C9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D15" i="22"/>
  <c r="C15" i="22"/>
  <c r="D13" i="22"/>
  <c r="C13" i="22"/>
  <c r="D5" i="20"/>
  <c r="H3" i="2"/>
  <c r="J3" i="2" s="1"/>
  <c r="H4" i="2"/>
  <c r="H5" i="2"/>
  <c r="H6" i="2"/>
  <c r="K6" i="2" s="1"/>
  <c r="H7" i="2"/>
  <c r="J7" i="2" s="1"/>
  <c r="H8" i="2"/>
  <c r="H9" i="2"/>
  <c r="H10" i="2"/>
  <c r="K10" i="2" s="1"/>
  <c r="H11" i="2"/>
  <c r="J11" i="2" s="1"/>
  <c r="H12" i="2"/>
  <c r="H13" i="2"/>
  <c r="H14" i="2"/>
  <c r="K14" i="2" s="1"/>
  <c r="H15" i="2"/>
  <c r="J15" i="2" s="1"/>
  <c r="H2" i="2"/>
  <c r="J2" i="2"/>
  <c r="K4" i="2"/>
  <c r="K5" i="2"/>
  <c r="K8" i="2"/>
  <c r="K9" i="2"/>
  <c r="K12" i="2"/>
  <c r="K13" i="2"/>
  <c r="K2" i="2"/>
  <c r="J4" i="2"/>
  <c r="J5" i="2"/>
  <c r="J6" i="2"/>
  <c r="J8" i="2"/>
  <c r="J9" i="2"/>
  <c r="J10" i="2"/>
  <c r="J12" i="2"/>
  <c r="J13" i="2"/>
  <c r="J14" i="2"/>
  <c r="C2" i="6"/>
  <c r="G10" i="5" l="1"/>
  <c r="C9" i="5"/>
  <c r="C8" i="5"/>
  <c r="C5" i="7"/>
  <c r="D9" i="5"/>
  <c r="D8" i="5"/>
  <c r="G8" i="5"/>
  <c r="G9" i="5"/>
  <c r="D5" i="7"/>
  <c r="E8" i="5"/>
  <c r="E9" i="5"/>
  <c r="F8" i="5"/>
  <c r="F9" i="5"/>
  <c r="E6" i="7"/>
  <c r="D6" i="7"/>
  <c r="F5" i="7"/>
  <c r="C6" i="7"/>
  <c r="K11" i="2"/>
  <c r="K15" i="2"/>
  <c r="K7" i="2"/>
  <c r="K3" i="2"/>
  <c r="D42" i="20" l="1"/>
  <c r="D43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Nick</author>
    <author>Janka Petravic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C7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fraction of women with secondary education</t>
        </r>
      </text>
    </comment>
    <comment ref="B8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 shapeId="0" xr:uid="{00000000-0006-0000-0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9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1" shapeId="0" xr:uid="{00000000-0006-0000-0C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Cost of BF + CFE for Tanzania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E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E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E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E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7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7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7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7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A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 xr:uid="{00000000-0006-0000-1A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C8" authorId="0" shapeId="0" xr:uid="{00000000-0006-0000-1A00-000004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 shapeId="0" xr:uid="{00000000-0006-0000-1A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 xr:uid="{00000000-0006-0000-1A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 shapeId="0" xr:uid="{00000000-0006-0000-1A00-00000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 xr:uid="{00000000-0006-0000-1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 xr:uid="{00000000-0006-0000-1A00-000009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A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 xr:uid="{00000000-0006-0000-1A00-00000B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A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A00-00000D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who received two or more doses</t>
        </r>
      </text>
    </comment>
    <comment ref="D25" authorId="1" shapeId="0" xr:uid="{00000000-0006-0000-1A00-00000E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A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 xr:uid="{00000000-0006-0000-1A00-000010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B31" authorId="3" shapeId="0" xr:uid="{00000000-0006-0000-1A00-00001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of U5 children who slept unden an LLIN last night</t>
        </r>
      </text>
    </comment>
    <comment ref="D31" authorId="4" shapeId="0" xr:uid="{00000000-0006-0000-1A00-00001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 shapeId="0" xr:uid="{00000000-0006-0000-1A00-000013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 shapeId="0" xr:uid="{00000000-0006-0000-1A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B45" authorId="3" shapeId="0" xr:uid="{00000000-0006-0000-1A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13%</t>
        </r>
      </text>
    </comment>
    <comment ref="B46" authorId="3" shapeId="0" xr:uid="{00000000-0006-0000-1A00-000016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7" authorId="3" shapeId="0" xr:uid="{00000000-0006-0000-1A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15.6%</t>
        </r>
      </text>
    </comment>
    <comment ref="B48" authorId="3" shapeId="0" xr:uid="{00000000-0006-0000-1A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8" authorId="3" shapeId="0" xr:uid="{00000000-0006-0000-1A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9" authorId="3" shapeId="0" xr:uid="{00000000-0006-0000-1A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9" authorId="3" shapeId="0" xr:uid="{00000000-0006-0000-1A00-00001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50" authorId="3" shapeId="0" xr:uid="{00000000-0006-0000-1A00-00001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625652B-E176-F643-9C47-01BFAEC715D5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C6" authorId="0" shapeId="0" xr:uid="{00000000-0006-0000-04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2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2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4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400-00000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F7" authorId="1" shapeId="0" xr:uid="{00000000-0006-0000-04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4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8" authorId="0" shapeId="0" xr:uid="{83EC1897-84F9-6E4E-BE2B-007DF2F81A9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Need to distribute properly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sharedStrings.xml><?xml version="1.0" encoding="utf-8"?>
<sst xmlns="http://schemas.openxmlformats.org/spreadsheetml/2006/main" count="1500" uniqueCount="290">
  <si>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</si>
  <si>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</si>
  <si>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</si>
  <si>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</si>
  <si>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</si>
  <si>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</si>
  <si>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</si>
  <si>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</si>
  <si>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</si>
  <si>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</si>
  <si>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</si>
  <si>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</si>
  <si>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</si>
  <si>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</si>
  <si>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</si>
  <si>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</si>
  <si>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</si>
  <si>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</si>
  <si>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</si>
  <si>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</si>
  <si>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</si>
  <si>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</si>
  <si>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</si>
  <si>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</si>
  <si>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</si>
  <si>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</si>
  <si>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</si>
  <si>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</si>
  <si>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</si>
  <si>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</si>
  <si>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</si>
  <si>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</si>
  <si>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</si>
  <si>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</si>
  <si>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</si>
  <si>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</si>
  <si>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</si>
  <si>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</si>
  <si>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</si>
  <si>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</si>
  <si>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</si>
  <si>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</si>
  <si>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</si>
  <si>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</si>
  <si>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</si>
  <si>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</si>
  <si>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</si>
  <si>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</si>
  <si>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</si>
  <si>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</si>
  <si>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</si>
  <si>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</si>
  <si>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</si>
  <si>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</si>
  <si>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</si>
  <si>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</si>
  <si>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</si>
  <si>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</si>
  <si>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</si>
  <si>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</si>
  <si>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</si>
  <si>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</si>
  <si>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</si>
  <si>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</si>
  <si>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</si>
  <si>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</si>
  <si>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</si>
  <si>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</si>
  <si>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</si>
  <si>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</si>
  <si>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</si>
  <si>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</si>
  <si>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</si>
  <si>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</si>
  <si>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</si>
  <si>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</si>
  <si>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</si>
  <si>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</si>
  <si>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</si>
  <si>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</si>
  <si>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</si>
  <si>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</si>
  <si>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</si>
  <si>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</si>
  <si>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</si>
  <si>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</si>
  <si>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</si>
  <si>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</si>
  <si>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</si>
  <si>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</si>
  <si>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</si>
  <si>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</si>
  <si>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</si>
  <si>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</si>
  <si>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</si>
  <si>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</si>
  <si>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</si>
  <si>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</si>
  <si>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</si>
  <si>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</si>
  <si>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</si>
  <si>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</si>
  <si>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</si>
  <si>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</si>
  <si>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</si>
  <si>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</si>
  <si>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</si>
  <si>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</si>
  <si>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</si>
  <si>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</si>
  <si>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</si>
  <si>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</si>
  <si>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</si>
  <si>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</si>
  <si>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</si>
  <si>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</si>
  <si>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</si>
  <si>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</si>
  <si>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</si>
  <si>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</si>
  <si>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</si>
  <si>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</si>
  <si>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</si>
  <si>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</si>
  <si>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</si>
  <si>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</si>
  <si>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</si>
  <si>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</si>
  <si>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</si>
  <si>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</si>
  <si>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</si>
  <si>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</si>
  <si>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</si>
  <si>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</si>
  <si>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</si>
  <si>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</si>
  <si>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</si>
  <si>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</si>
  <si>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</si>
  <si>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</si>
  <si>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</si>
  <si>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</si>
  <si>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</si>
  <si>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</si>
  <si>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</si>
  <si>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</si>
  <si>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</si>
  <si>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</si>
  <si>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</si>
  <si>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</si>
  <si>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</si>
  <si>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</si>
  <si>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</si>
  <si>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</si>
  <si>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</si>
  <si>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</si>
  <si>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</si>
  <si>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</si>
  <si>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</si>
  <si>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</si>
  <si>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</si>
  <si>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</si>
  <si>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</si>
  <si>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</si>
  <si>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</si>
  <si>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</si>
  <si>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</si>
  <si>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</si>
  <si>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</si>
  <si>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</si>
  <si>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</si>
  <si>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</si>
  <si>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</si>
  <si>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</si>
  <si>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</si>
  <si>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</si>
  <si>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</si>
  <si>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</si>
  <si>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</si>
  <si>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</si>
  <si>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</si>
  <si>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</si>
  <si>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</si>
  <si>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</si>
  <si>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</si>
  <si>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</si>
  <si>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</si>
  <si>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</si>
  <si>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</si>
  <si>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</si>
  <si>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</si>
  <si>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</si>
  <si>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</si>
  <si>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</si>
  <si>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</si>
  <si>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</si>
  <si>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</si>
  <si>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</si>
  <si>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</si>
  <si>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</si>
  <si>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</si>
  <si>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</si>
  <si>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</si>
  <si>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</si>
  <si>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</si>
  <si>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</si>
  <si>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</si>
  <si>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</si>
  <si>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</si>
  <si>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</si>
  <si>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</si>
  <si>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</si>
  <si>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</si>
  <si>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</si>
  <si>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</si>
  <si>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</si>
  <si>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</si>
  <si>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</si>
  <si>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</si>
  <si>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</si>
  <si>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</si>
  <si>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</si>
  <si>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</si>
  <si>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</si>
  <si>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</si>
  <si>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</si>
  <si>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</si>
  <si>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</si>
  <si>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</si>
  <si>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</si>
  <si>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</si>
  <si>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</si>
  <si>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</si>
  <si>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</si>
  <si>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</si>
  <si>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</si>
  <si>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</si>
  <si>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</si>
  <si>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</si>
  <si>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</si>
  <si>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</si>
  <si>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</si>
  <si>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</si>
  <si>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</si>
  <si>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</si>
  <si>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</si>
  <si>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</si>
  <si>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</si>
  <si>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</si>
  <si>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</si>
  <si>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</si>
  <si>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</si>
  <si>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</si>
  <si>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</si>
  <si>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</si>
  <si>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</si>
  <si>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</si>
  <si>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</si>
  <si>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</si>
  <si>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</si>
  <si>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</si>
  <si>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</si>
  <si>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</si>
  <si>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</si>
  <si>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</si>
  <si>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</si>
  <si>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</si>
  <si>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Diarrhea</t>
  </si>
  <si>
    <t>Birth age program</t>
  </si>
  <si>
    <t>Birth age</t>
  </si>
  <si>
    <t>Calculated in model</t>
  </si>
  <si>
    <t>6-8 months</t>
  </si>
  <si>
    <t>9-11 months</t>
  </si>
  <si>
    <t>12-17 months</t>
  </si>
  <si>
    <t>24-35 months</t>
  </si>
  <si>
    <t>36-47 months</t>
  </si>
  <si>
    <t>48-59 months</t>
  </si>
  <si>
    <t>&lt;6 months</t>
  </si>
  <si>
    <t>Data</t>
  </si>
  <si>
    <t>Pop size</t>
  </si>
  <si>
    <t>Percent</t>
  </si>
  <si>
    <t>below -3</t>
  </si>
  <si>
    <t>below -2</t>
  </si>
  <si>
    <t>2-3 months</t>
  </si>
  <si>
    <t>4-5 months</t>
  </si>
  <si>
    <t>6-9 months</t>
  </si>
  <si>
    <t>Field</t>
  </si>
  <si>
    <t>Spending</t>
  </si>
  <si>
    <t>Coverage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</si>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</sst>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  <numFmt numFmtId="167" formatCode="0.0%"/>
  </numFmts>
  <fonts count="31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8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6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0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5" fillId="2" borderId="1" xfId="10" applyNumberFormat="1" applyFont="1" applyFill="1" applyBorder="1" applyAlignment="1"/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165" fontId="13" fillId="2" borderId="1" xfId="0" applyNumberFormat="1" applyFont="1" applyFill="1" applyBorder="1" applyAlignment="1"/>
    <xf numFmtId="10" fontId="13" fillId="2" borderId="1" xfId="10" applyNumberFormat="1" applyFont="1" applyFill="1" applyBorder="1" applyAlignment="1"/>
    <xf numFmtId="9" fontId="13" fillId="2" borderId="1" xfId="10" applyNumberFormat="1" applyFont="1" applyFill="1" applyBorder="1" applyAlignment="1"/>
    <xf numFmtId="10" fontId="5" fillId="4" borderId="1" xfId="0" applyNumberFormat="1" applyFont="1" applyFill="1" applyBorder="1" applyAlignment="1"/>
    <xf numFmtId="9" fontId="5" fillId="2" borderId="1" xfId="0" applyNumberFormat="1" applyFont="1" applyFill="1" applyBorder="1" applyAlignment="1"/>
    <xf numFmtId="167" fontId="5" fillId="2" borderId="1" xfId="0" applyNumberFormat="1" applyFont="1" applyFill="1" applyBorder="1" applyAlignment="1"/>
    <xf numFmtId="10" fontId="5" fillId="2" borderId="1" xfId="0" applyNumberFormat="1" applyFont="1" applyFill="1" applyBorder="1" applyAlignment="1"/>
    <xf numFmtId="165" fontId="5" fillId="2" borderId="1" xfId="0" applyNumberFormat="1" applyFont="1" applyFill="1" applyBorder="1" applyAlignment="1"/>
    <xf numFmtId="167" fontId="0" fillId="0" borderId="0" xfId="0" applyNumberFormat="1" applyFont="1" applyAlignment="1"/>
    <xf numFmtId="0" fontId="5" fillId="0" borderId="0" xfId="0" applyFont="1" applyBorder="1" applyAlignment="1"/>
    <xf numFmtId="0" fontId="5" fillId="0" borderId="0" xfId="0" applyFont="1" applyFill="1" applyBorder="1" applyAlignment="1"/>
    <xf numFmtId="0" fontId="22" fillId="0" borderId="0" xfId="0" applyFont="1" applyAlignment="1"/>
    <xf numFmtId="0" fontId="23" fillId="12" borderId="0" xfId="0" applyFont="1" applyFill="1" applyAlignment="1"/>
    <xf numFmtId="0" fontId="24" fillId="2" borderId="1" xfId="0" applyFont="1" applyFill="1" applyBorder="1" applyAlignment="1"/>
    <xf numFmtId="0" fontId="25" fillId="0" borderId="0" xfId="0" applyFont="1" applyFill="1" applyBorder="1" applyAlignment="1"/>
    <xf numFmtId="0" fontId="25" fillId="0" borderId="1" xfId="0" applyNumberFormat="1" applyFont="1" applyFill="1" applyBorder="1" applyAlignment="1"/>
    <xf numFmtId="0" fontId="25" fillId="0" borderId="1" xfId="0" applyFont="1" applyFill="1" applyBorder="1" applyAlignment="1"/>
    <xf numFmtId="0" fontId="25" fillId="0" borderId="0" xfId="0" applyFont="1" applyFill="1" applyAlignment="1"/>
    <xf numFmtId="0" fontId="24" fillId="12" borderId="0" xfId="0" applyFont="1" applyFill="1" applyAlignment="1"/>
    <xf numFmtId="0" fontId="23" fillId="2" borderId="1" xfId="0" applyFont="1" applyFill="1" applyBorder="1" applyAlignment="1"/>
    <xf numFmtId="0" fontId="26" fillId="12" borderId="0" xfId="0" applyFont="1" applyFill="1" applyAlignment="1"/>
    <xf numFmtId="0" fontId="24" fillId="12" borderId="0" xfId="0" applyFont="1" applyFill="1" applyBorder="1" applyAlignment="1"/>
    <xf numFmtId="0" fontId="23" fillId="2" borderId="1" xfId="0" applyNumberFormat="1" applyFont="1" applyFill="1" applyBorder="1" applyAlignment="1"/>
    <xf numFmtId="0" fontId="5" fillId="0" borderId="0" xfId="0" applyFont="1" applyAlignment="1"/>
    <xf numFmtId="0" fontId="0" fillId="13" borderId="0" xfId="0" applyFont="1" applyFill="1" applyAlignment="1"/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23" fillId="2" borderId="0" xfId="0" applyNumberFormat="1" applyFont="1" applyFill="1" applyBorder="1" applyAlignment="1"/>
    <xf numFmtId="0" fontId="24" fillId="2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NumberFormat="1" applyFont="1" applyFill="1" applyBorder="1" applyAlignment="1"/>
    <xf numFmtId="0" fontId="13" fillId="0" borderId="0" xfId="0" applyNumberFormat="1" applyFont="1" applyAlignment="1"/>
    <xf numFmtId="0" fontId="13" fillId="0" borderId="0" xfId="0" applyFont="1" applyAlignment="1">
      <alignment horizontal="center" vertical="center"/>
    </xf>
  </cellXfs>
  <cellStyles count="68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C26" sqref="C26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99</v>
      </c>
      <c r="B1" s="10" t="s">
        <v>58</v>
      </c>
      <c r="C1" s="10" t="s">
        <v>100</v>
      </c>
    </row>
    <row r="2" spans="1:3" ht="16" customHeight="1" x14ac:dyDescent="0.15">
      <c r="A2" s="1" t="s">
        <v>59</v>
      </c>
      <c r="B2" t="s">
        <v>0</v>
      </c>
      <c r="C2" s="86">
        <v>2016</v>
      </c>
    </row>
    <row r="3" spans="1:3" ht="15.75" customHeight="1" x14ac:dyDescent="0.15">
      <c r="B3" s="4" t="s">
        <v>1</v>
      </c>
      <c r="C3" s="16">
        <v>9862402</v>
      </c>
    </row>
    <row r="4" spans="1:3" ht="15.75" customHeight="1" x14ac:dyDescent="0.15">
      <c r="B4" s="4" t="s">
        <v>3</v>
      </c>
      <c r="C4" s="16">
        <v>2070000</v>
      </c>
    </row>
    <row r="5" spans="1:3" ht="15.75" customHeight="1" x14ac:dyDescent="0.15">
      <c r="B5" s="29" t="s">
        <v>106</v>
      </c>
      <c r="C5" s="39">
        <v>57310019</v>
      </c>
    </row>
    <row r="6" spans="1:3" ht="15.75" customHeight="1" x14ac:dyDescent="0.15">
      <c r="B6" s="4" t="s">
        <v>4</v>
      </c>
      <c r="C6" s="17">
        <f>(C4+C4*C20/(1000-C20))/(1-C19)</f>
        <v>2433828.0941362381</v>
      </c>
    </row>
    <row r="7" spans="1:3" ht="15.75" customHeight="1" x14ac:dyDescent="0.15">
      <c r="B7" s="29" t="s">
        <v>66</v>
      </c>
      <c r="C7" s="18">
        <v>0.23</v>
      </c>
    </row>
    <row r="8" spans="1:3" ht="15.75" customHeight="1" x14ac:dyDescent="0.15">
      <c r="B8" s="4" t="s">
        <v>65</v>
      </c>
      <c r="C8" s="18">
        <v>0.28199999999999997</v>
      </c>
    </row>
    <row r="9" spans="1:3" ht="15.75" customHeight="1" x14ac:dyDescent="0.15">
      <c r="B9" s="29" t="s">
        <v>67</v>
      </c>
      <c r="C9" s="18">
        <v>1</v>
      </c>
    </row>
    <row r="10" spans="1:3" ht="15.75" customHeight="1" x14ac:dyDescent="0.15">
      <c r="B10" s="4" t="s">
        <v>177</v>
      </c>
      <c r="C10" s="18">
        <v>0.51</v>
      </c>
    </row>
    <row r="11" spans="1:3" ht="15.75" customHeight="1" x14ac:dyDescent="0.15">
      <c r="B11" s="4" t="s">
        <v>178</v>
      </c>
      <c r="C11" s="18">
        <v>0.37</v>
      </c>
    </row>
    <row r="12" spans="1:3" ht="15.75" customHeight="1" x14ac:dyDescent="0.15">
      <c r="B12" s="4" t="s">
        <v>179</v>
      </c>
      <c r="C12" s="18">
        <v>0.221</v>
      </c>
    </row>
    <row r="13" spans="1:3" ht="13" x14ac:dyDescent="0.15">
      <c r="B13" t="s">
        <v>220</v>
      </c>
      <c r="C13" s="44">
        <v>0.9</v>
      </c>
    </row>
    <row r="14" spans="1:3" ht="13" x14ac:dyDescent="0.15">
      <c r="B14" t="s">
        <v>221</v>
      </c>
      <c r="C14" s="44">
        <v>0.1</v>
      </c>
    </row>
    <row r="15" spans="1:3" ht="13" x14ac:dyDescent="0.15">
      <c r="B15" s="4" t="s">
        <v>226</v>
      </c>
      <c r="C15" s="62">
        <v>0.2</v>
      </c>
    </row>
    <row r="16" spans="1:3" ht="13" x14ac:dyDescent="0.15">
      <c r="B16" s="4"/>
      <c r="C16" s="51"/>
    </row>
    <row r="17" spans="1:3" ht="13" x14ac:dyDescent="0.15">
      <c r="B17" s="4"/>
      <c r="C17" s="51"/>
    </row>
    <row r="18" spans="1:3" ht="15.75" customHeight="1" x14ac:dyDescent="0.15">
      <c r="A18" s="10" t="s">
        <v>109</v>
      </c>
      <c r="B18" t="s">
        <v>188</v>
      </c>
      <c r="C18" s="18">
        <f>401/100</f>
        <v>4.01</v>
      </c>
    </row>
    <row r="19" spans="1:3" ht="15.75" customHeight="1" x14ac:dyDescent="0.15">
      <c r="B19" t="s">
        <v>107</v>
      </c>
      <c r="C19" s="18">
        <v>0.13</v>
      </c>
    </row>
    <row r="20" spans="1:3" ht="15.75" customHeight="1" x14ac:dyDescent="0.15">
      <c r="B20" t="s">
        <v>108</v>
      </c>
      <c r="C20" s="18">
        <v>22.4</v>
      </c>
    </row>
    <row r="21" spans="1:3" ht="15.75" customHeight="1" x14ac:dyDescent="0.15">
      <c r="B21" t="s">
        <v>189</v>
      </c>
      <c r="C21" s="18">
        <v>25</v>
      </c>
    </row>
    <row r="22" spans="1:3" ht="15.75" customHeight="1" x14ac:dyDescent="0.15">
      <c r="B22" t="s">
        <v>190</v>
      </c>
      <c r="C22" s="18">
        <v>43</v>
      </c>
    </row>
    <row r="23" spans="1:3" ht="15.75" customHeight="1" x14ac:dyDescent="0.15">
      <c r="B23" t="s">
        <v>191</v>
      </c>
      <c r="C23" s="18">
        <v>67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69</v>
      </c>
      <c r="B26" s="29" t="s">
        <v>71</v>
      </c>
      <c r="C26" s="33">
        <v>0.3</v>
      </c>
    </row>
    <row r="27" spans="1:3" ht="15.75" customHeight="1" x14ac:dyDescent="0.15">
      <c r="B27" s="29" t="s">
        <v>94</v>
      </c>
      <c r="C27" s="33">
        <v>0</v>
      </c>
    </row>
    <row r="28" spans="1:3" ht="15.75" customHeight="1" x14ac:dyDescent="0.15">
      <c r="B28" s="29" t="s">
        <v>95</v>
      </c>
      <c r="C28" s="33">
        <v>0</v>
      </c>
    </row>
    <row r="29" spans="1:3" ht="15.75" customHeight="1" x14ac:dyDescent="0.15">
      <c r="B29" s="29" t="s">
        <v>96</v>
      </c>
      <c r="C29" s="33">
        <v>0.8</v>
      </c>
    </row>
    <row r="30" spans="1:3" ht="15.75" customHeight="1" x14ac:dyDescent="0.15">
      <c r="B30" s="29" t="s">
        <v>70</v>
      </c>
      <c r="C30" s="33">
        <v>0.2</v>
      </c>
    </row>
    <row r="32" spans="1:3" ht="15.75" customHeight="1" x14ac:dyDescent="0.15">
      <c r="B32" s="29"/>
    </row>
    <row r="33" spans="1:5" ht="15.75" customHeight="1" x14ac:dyDescent="0.2">
      <c r="A33" s="10" t="s">
        <v>105</v>
      </c>
      <c r="B33" s="79" t="s">
        <v>111</v>
      </c>
      <c r="C33" s="39">
        <v>3032037</v>
      </c>
      <c r="D33" s="84"/>
      <c r="E33" s="83"/>
    </row>
    <row r="34" spans="1:5" ht="15" customHeight="1" x14ac:dyDescent="0.2">
      <c r="B34" s="79" t="s">
        <v>112</v>
      </c>
      <c r="C34" s="39">
        <v>4756743</v>
      </c>
      <c r="D34" s="84"/>
      <c r="E34" s="84"/>
    </row>
    <row r="35" spans="1:5" ht="15.75" customHeight="1" x14ac:dyDescent="0.2">
      <c r="B35" s="79" t="s">
        <v>113</v>
      </c>
      <c r="C35" s="39">
        <v>3406589</v>
      </c>
      <c r="D35" s="84"/>
    </row>
    <row r="36" spans="1:5" ht="15.75" customHeight="1" x14ac:dyDescent="0.2">
      <c r="B36" s="79" t="s">
        <v>114</v>
      </c>
      <c r="C36" s="39">
        <v>2174712</v>
      </c>
      <c r="D36" s="84"/>
    </row>
    <row r="37" spans="1:5" ht="15.75" customHeight="1" x14ac:dyDescent="0.2">
      <c r="B37" s="79"/>
      <c r="C37" s="85"/>
      <c r="D37" s="84"/>
    </row>
    <row r="38" spans="1:5" ht="15.75" customHeight="1" x14ac:dyDescent="0.2">
      <c r="B38" s="79"/>
      <c r="C38" s="85"/>
      <c r="D38" s="84"/>
    </row>
    <row r="39" spans="1:5" ht="15.75" customHeight="1" x14ac:dyDescent="0.2">
      <c r="A39" s="10" t="s">
        <v>209</v>
      </c>
      <c r="B39" s="79" t="s">
        <v>111</v>
      </c>
      <c r="C39" s="37">
        <f>C33-C45</f>
        <v>2722830.7358748955</v>
      </c>
      <c r="D39" s="84"/>
      <c r="E39" s="83"/>
    </row>
    <row r="40" spans="1:5" ht="15" customHeight="1" x14ac:dyDescent="0.2">
      <c r="B40" s="79" t="s">
        <v>112</v>
      </c>
      <c r="C40" s="37">
        <f t="shared" ref="C40:C42" si="0">C34-C46</f>
        <v>3655781.3019787949</v>
      </c>
      <c r="D40" s="84"/>
      <c r="E40" s="84"/>
    </row>
    <row r="41" spans="1:5" ht="15.75" customHeight="1" x14ac:dyDescent="0.2">
      <c r="B41" s="79" t="s">
        <v>113</v>
      </c>
      <c r="C41" s="37">
        <f t="shared" si="0"/>
        <v>2593751.3208226422</v>
      </c>
      <c r="D41" s="84"/>
    </row>
    <row r="42" spans="1:5" ht="15.75" customHeight="1" x14ac:dyDescent="0.2">
      <c r="B42" s="79" t="s">
        <v>114</v>
      </c>
      <c r="C42" s="37">
        <f t="shared" si="0"/>
        <v>1963889.5471874289</v>
      </c>
      <c r="D42" s="84"/>
    </row>
    <row r="43" spans="1:5" ht="15.75" customHeight="1" x14ac:dyDescent="0.2">
      <c r="B43" s="79"/>
      <c r="C43" s="38"/>
      <c r="D43" s="84"/>
    </row>
    <row r="44" spans="1:5" ht="15" customHeight="1" x14ac:dyDescent="0.2">
      <c r="B44" s="36"/>
      <c r="C44" s="38"/>
    </row>
    <row r="45" spans="1:5" ht="15.75" customHeight="1" x14ac:dyDescent="0.2">
      <c r="A45" s="10" t="s">
        <v>208</v>
      </c>
      <c r="B45" s="79" t="s">
        <v>115</v>
      </c>
      <c r="C45" s="32">
        <f>C51*$C$6</f>
        <v>309206.26412510435</v>
      </c>
    </row>
    <row r="46" spans="1:5" ht="15.75" customHeight="1" x14ac:dyDescent="0.2">
      <c r="B46" s="79" t="s">
        <v>116</v>
      </c>
      <c r="C46" s="32">
        <f t="shared" ref="C46:C48" si="1">C52*$C$6</f>
        <v>1100961.6980212049</v>
      </c>
    </row>
    <row r="47" spans="1:5" ht="15.75" customHeight="1" x14ac:dyDescent="0.2">
      <c r="B47" s="79" t="s">
        <v>117</v>
      </c>
      <c r="C47" s="32">
        <f t="shared" si="1"/>
        <v>812837.6791773577</v>
      </c>
    </row>
    <row r="48" spans="1:5" ht="15.75" customHeight="1" x14ac:dyDescent="0.2">
      <c r="B48" s="79" t="s">
        <v>118</v>
      </c>
      <c r="C48" s="32">
        <f t="shared" si="1"/>
        <v>210822.45281257117</v>
      </c>
    </row>
    <row r="51" spans="1:3" ht="15.75" customHeight="1" x14ac:dyDescent="0.2">
      <c r="A51" s="10" t="s">
        <v>103</v>
      </c>
      <c r="B51" s="79" t="s">
        <v>115</v>
      </c>
      <c r="C51" s="110">
        <v>0.12704523580365737</v>
      </c>
    </row>
    <row r="52" spans="1:3" ht="15.75" customHeight="1" x14ac:dyDescent="0.2">
      <c r="B52" s="79" t="s">
        <v>116</v>
      </c>
      <c r="C52" s="110">
        <v>0.4523580365736285</v>
      </c>
    </row>
    <row r="53" spans="1:3" ht="15.75" customHeight="1" x14ac:dyDescent="0.2">
      <c r="B53" s="79" t="s">
        <v>117</v>
      </c>
      <c r="C53" s="110">
        <v>0.33397497593840231</v>
      </c>
    </row>
    <row r="54" spans="1:3" ht="15.75" customHeight="1" x14ac:dyDescent="0.2">
      <c r="B54" s="79" t="s">
        <v>118</v>
      </c>
      <c r="C54" s="110">
        <v>8.662175168431184E-2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workbookViewId="0"/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101</v>
      </c>
      <c r="B1" s="10" t="s">
        <v>58</v>
      </c>
      <c r="C1" s="28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57</v>
      </c>
      <c r="C2" s="19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0"/>
      <c r="D3" s="67"/>
      <c r="E3" s="67"/>
      <c r="F3" s="67"/>
    </row>
    <row r="4" spans="1:6" ht="15.75" customHeight="1" x14ac:dyDescent="0.15">
      <c r="A4" s="10"/>
      <c r="C4" s="80"/>
      <c r="D4" s="67"/>
      <c r="E4" s="67"/>
      <c r="F4" s="67"/>
    </row>
    <row r="5" spans="1:6" ht="15.75" customHeight="1" x14ac:dyDescent="0.15">
      <c r="A5" s="10" t="s">
        <v>196</v>
      </c>
      <c r="B5" t="s">
        <v>210</v>
      </c>
      <c r="C5" s="3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49">
        <v>1</v>
      </c>
      <c r="D7" s="49">
        <v>2.58</v>
      </c>
      <c r="E7" s="49">
        <v>1.65</v>
      </c>
      <c r="F7" s="49">
        <v>3.5</v>
      </c>
    </row>
    <row r="8" spans="1:6" ht="15.75" customHeight="1" x14ac:dyDescent="0.2">
      <c r="B8" t="s">
        <v>148</v>
      </c>
      <c r="C8" s="49">
        <v>1</v>
      </c>
      <c r="D8" s="49">
        <v>2.58</v>
      </c>
      <c r="E8" s="49">
        <v>1.65</v>
      </c>
      <c r="F8" s="49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8"/>
      <c r="D11" s="10"/>
      <c r="E11" s="10"/>
      <c r="F11" s="10"/>
    </row>
    <row r="12" spans="1:6" ht="15.75" customHeight="1" x14ac:dyDescent="0.15">
      <c r="A12" s="10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248</v>
      </c>
      <c r="B23" s="93" t="s">
        <v>234</v>
      </c>
      <c r="C23" s="94">
        <v>1</v>
      </c>
      <c r="D23" s="94">
        <v>1.52</v>
      </c>
      <c r="E23" s="94">
        <v>1.75</v>
      </c>
      <c r="F23" s="94">
        <v>3.14</v>
      </c>
      <c r="G23" s="95"/>
    </row>
    <row r="24" spans="1:7" ht="15.75" customHeight="1" x14ac:dyDescent="0.15">
      <c r="B24" s="93" t="s">
        <v>235</v>
      </c>
      <c r="C24" s="94">
        <v>1</v>
      </c>
      <c r="D24" s="94">
        <v>1.2</v>
      </c>
      <c r="E24" s="94">
        <v>1.4</v>
      </c>
      <c r="F24" s="94">
        <v>1.6</v>
      </c>
      <c r="G24" s="95"/>
    </row>
    <row r="25" spans="1:7" ht="15.75" customHeight="1" x14ac:dyDescent="0.15">
      <c r="B25" s="93" t="s">
        <v>236</v>
      </c>
      <c r="C25" s="94">
        <v>1</v>
      </c>
      <c r="D25" s="94">
        <v>1.2</v>
      </c>
      <c r="E25" s="94">
        <v>1.4</v>
      </c>
      <c r="F25" s="94">
        <v>1.6</v>
      </c>
      <c r="G25" s="95"/>
    </row>
    <row r="26" spans="1:7" ht="15.75" customHeight="1" x14ac:dyDescent="0.15">
      <c r="B26" s="96" t="s">
        <v>237</v>
      </c>
      <c r="C26" s="94">
        <v>1</v>
      </c>
      <c r="D26" s="94">
        <v>1.52</v>
      </c>
      <c r="E26" s="94">
        <v>1.75</v>
      </c>
      <c r="F26" s="94">
        <v>1.73</v>
      </c>
      <c r="G26" s="95"/>
    </row>
    <row r="27" spans="1:7" ht="15.75" customHeight="1" x14ac:dyDescent="0.15">
      <c r="B27" s="96" t="s">
        <v>238</v>
      </c>
      <c r="C27" s="94">
        <v>1</v>
      </c>
      <c r="D27" s="94">
        <v>1</v>
      </c>
      <c r="E27" s="94">
        <v>1</v>
      </c>
      <c r="F27" s="94">
        <v>1</v>
      </c>
      <c r="G27" s="95"/>
    </row>
    <row r="28" spans="1:7" ht="15.75" customHeight="1" x14ac:dyDescent="0.15">
      <c r="B28" s="96" t="s">
        <v>239</v>
      </c>
      <c r="C28" s="94">
        <v>1</v>
      </c>
      <c r="D28" s="94">
        <v>1</v>
      </c>
      <c r="E28" s="94">
        <v>1</v>
      </c>
      <c r="F28" s="94">
        <v>1</v>
      </c>
      <c r="G28" s="95"/>
    </row>
    <row r="29" spans="1:7" ht="15.75" customHeight="1" x14ac:dyDescent="0.15">
      <c r="B29" s="97" t="s">
        <v>240</v>
      </c>
      <c r="C29" s="94">
        <v>1</v>
      </c>
      <c r="D29" s="94">
        <v>1.52</v>
      </c>
      <c r="E29" s="94">
        <v>1.75</v>
      </c>
      <c r="F29" s="94">
        <v>1.52</v>
      </c>
      <c r="G29" s="95"/>
    </row>
    <row r="30" spans="1:7" ht="15.75" customHeight="1" x14ac:dyDescent="0.15">
      <c r="B30" s="97" t="s">
        <v>241</v>
      </c>
      <c r="C30" s="94">
        <v>1</v>
      </c>
      <c r="D30" s="94">
        <v>1</v>
      </c>
      <c r="E30" s="94">
        <v>1.33</v>
      </c>
      <c r="F30" s="94">
        <v>1</v>
      </c>
      <c r="G30" s="95"/>
    </row>
    <row r="31" spans="1:7" ht="15.75" customHeight="1" x14ac:dyDescent="0.15">
      <c r="B31" s="97" t="s">
        <v>242</v>
      </c>
      <c r="C31" s="94">
        <v>1</v>
      </c>
      <c r="D31" s="94">
        <v>1</v>
      </c>
      <c r="E31" s="94">
        <v>1.33</v>
      </c>
      <c r="F31" s="94">
        <v>1</v>
      </c>
      <c r="G31" s="95"/>
    </row>
    <row r="32" spans="1:7" ht="15.75" customHeight="1" x14ac:dyDescent="0.15">
      <c r="B32" s="99"/>
      <c r="C32" s="94"/>
      <c r="D32" s="94"/>
      <c r="E32" s="94"/>
      <c r="F32" s="94"/>
      <c r="G32" s="95"/>
    </row>
    <row r="33" spans="1:7" ht="15.75" customHeight="1" x14ac:dyDescent="0.15">
      <c r="C33" s="95"/>
      <c r="D33" s="95"/>
      <c r="E33" s="95"/>
      <c r="F33" s="95"/>
      <c r="G33" s="95"/>
    </row>
    <row r="34" spans="1:7" ht="15.75" customHeight="1" x14ac:dyDescent="0.15">
      <c r="B34" s="10"/>
      <c r="C34" s="98"/>
      <c r="D34" s="98"/>
      <c r="E34" s="98"/>
      <c r="F34" s="98"/>
      <c r="G34" s="95"/>
    </row>
    <row r="35" spans="1:7" ht="15.75" customHeight="1" x14ac:dyDescent="0.15">
      <c r="A35" s="10" t="s">
        <v>249</v>
      </c>
      <c r="B35" s="99" t="s">
        <v>244</v>
      </c>
      <c r="C35" s="94">
        <v>1</v>
      </c>
      <c r="D35" s="100">
        <v>1</v>
      </c>
      <c r="E35" s="100">
        <v>1</v>
      </c>
      <c r="F35" s="100">
        <v>1</v>
      </c>
      <c r="G35" s="95"/>
    </row>
    <row r="36" spans="1:7" ht="15.75" customHeight="1" x14ac:dyDescent="0.15">
      <c r="B36" s="99" t="s">
        <v>245</v>
      </c>
      <c r="C36" s="94">
        <v>1</v>
      </c>
      <c r="D36" s="100">
        <v>1.41</v>
      </c>
      <c r="E36" s="100">
        <v>1.49</v>
      </c>
      <c r="F36" s="100">
        <v>3.03</v>
      </c>
      <c r="G36" s="95"/>
    </row>
    <row r="37" spans="1:7" ht="15.75" customHeight="1" x14ac:dyDescent="0.15">
      <c r="B37" s="99" t="s">
        <v>246</v>
      </c>
      <c r="C37" s="94">
        <v>1</v>
      </c>
      <c r="D37" s="100">
        <v>1.18</v>
      </c>
      <c r="E37" s="100">
        <v>1.1000000000000001</v>
      </c>
      <c r="F37" s="100">
        <v>1.77</v>
      </c>
      <c r="G37" s="95"/>
    </row>
    <row r="38" spans="1:7" ht="15.75" customHeight="1" x14ac:dyDescent="0.15">
      <c r="B38" s="99" t="s">
        <v>247</v>
      </c>
      <c r="C38" s="94">
        <v>1</v>
      </c>
      <c r="D38" s="100">
        <v>1</v>
      </c>
      <c r="E38" s="100">
        <v>1</v>
      </c>
      <c r="F38" s="100">
        <v>1</v>
      </c>
      <c r="G38" s="9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workbookViewId="0"/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56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115</v>
      </c>
      <c r="J1" s="10" t="s">
        <v>116</v>
      </c>
      <c r="K1" s="10" t="s">
        <v>117</v>
      </c>
      <c r="L1" s="10" t="s">
        <v>118</v>
      </c>
      <c r="M1" s="10" t="s">
        <v>111</v>
      </c>
      <c r="N1" s="10" t="s">
        <v>112</v>
      </c>
      <c r="O1" s="10" t="s">
        <v>113</v>
      </c>
      <c r="P1" s="10" t="s">
        <v>114</v>
      </c>
    </row>
    <row r="2" spans="1:16" x14ac:dyDescent="0.15">
      <c r="A2" s="10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214</v>
      </c>
      <c r="B94" s="11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/>
  </sheetViews>
  <sheetFormatPr baseColWidth="10" defaultColWidth="11.5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192</v>
      </c>
      <c r="B2" t="s">
        <v>62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63" t="s">
        <v>54</v>
      </c>
      <c r="C13" s="4">
        <v>1</v>
      </c>
      <c r="D13" s="4">
        <v>1</v>
      </c>
      <c r="E13" s="4">
        <f>1/(1 + (E7-1)*(1-'Baseline year demographics'!$C$8))</f>
        <v>0.76409370845240454</v>
      </c>
      <c r="F13" s="4">
        <f>1/(1 + (F7-1)*(1-'Baseline year demographics'!$C$8))</f>
        <v>0.76409370845240454</v>
      </c>
      <c r="G13" s="4">
        <v>1</v>
      </c>
    </row>
    <row r="14" spans="1:7" x14ac:dyDescent="0.15">
      <c r="B14" s="63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3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3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4" t="s">
        <v>254</v>
      </c>
      <c r="B18" s="53" t="s">
        <v>53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5"/>
      <c r="B19" s="53" t="s">
        <v>54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149</v>
      </c>
      <c r="B21" s="4" t="s">
        <v>213</v>
      </c>
      <c r="C21" s="44">
        <v>1.04</v>
      </c>
      <c r="D21" s="44">
        <v>1.04</v>
      </c>
      <c r="E21" s="44">
        <v>1.04</v>
      </c>
      <c r="F21" s="44">
        <v>1.04</v>
      </c>
      <c r="G21" s="44">
        <v>1.04</v>
      </c>
    </row>
    <row r="23" spans="1:7" x14ac:dyDescent="0.15">
      <c r="A23" s="10" t="s">
        <v>150</v>
      </c>
      <c r="B23" s="4" t="s">
        <v>213</v>
      </c>
      <c r="C23" s="44">
        <v>1.04</v>
      </c>
      <c r="D23" s="44">
        <v>1.04</v>
      </c>
      <c r="E23" s="44">
        <v>1.04</v>
      </c>
      <c r="F23" s="44">
        <v>1.04</v>
      </c>
      <c r="G23" s="44">
        <v>1.04</v>
      </c>
    </row>
    <row r="25" spans="1:7" x14ac:dyDescent="0.15">
      <c r="A25" s="10" t="s">
        <v>218</v>
      </c>
      <c r="B25" t="s">
        <v>216</v>
      </c>
      <c r="C25" s="44">
        <v>1</v>
      </c>
      <c r="D25" s="44">
        <v>1</v>
      </c>
      <c r="E25" s="44">
        <v>1</v>
      </c>
      <c r="F25" s="44">
        <v>1</v>
      </c>
      <c r="G25" s="44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workbookViewId="0"/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156</v>
      </c>
      <c r="B1" s="10" t="s">
        <v>159</v>
      </c>
      <c r="C1" s="10" t="s">
        <v>155</v>
      </c>
      <c r="D1" s="10" t="s">
        <v>6</v>
      </c>
      <c r="E1" s="10" t="s">
        <v>7</v>
      </c>
      <c r="F1" s="10" t="s">
        <v>8</v>
      </c>
      <c r="G1" s="10" t="s">
        <v>9</v>
      </c>
      <c r="H1" s="51" t="s">
        <v>10</v>
      </c>
    </row>
    <row r="2" spans="1:10" x14ac:dyDescent="0.15">
      <c r="A2" s="10" t="s">
        <v>157</v>
      </c>
      <c r="B2" s="145" t="s">
        <v>73</v>
      </c>
      <c r="C2" t="s">
        <v>153</v>
      </c>
      <c r="D2" s="50">
        <v>1</v>
      </c>
      <c r="E2" s="50">
        <v>1</v>
      </c>
      <c r="F2" s="50">
        <v>1</v>
      </c>
      <c r="G2" s="50">
        <v>1</v>
      </c>
      <c r="H2" s="50">
        <v>1</v>
      </c>
    </row>
    <row r="3" spans="1:10" x14ac:dyDescent="0.15">
      <c r="B3" s="145"/>
      <c r="C3" t="s">
        <v>154</v>
      </c>
      <c r="D3" s="50">
        <v>1</v>
      </c>
      <c r="E3" s="50">
        <v>1</v>
      </c>
      <c r="F3" s="50">
        <v>1</v>
      </c>
      <c r="G3" s="50">
        <v>1</v>
      </c>
      <c r="H3" s="50">
        <v>1</v>
      </c>
      <c r="J3" s="50"/>
    </row>
    <row r="4" spans="1:10" x14ac:dyDescent="0.15">
      <c r="B4" s="145"/>
      <c r="C4" t="s">
        <v>164</v>
      </c>
      <c r="D4" s="50">
        <v>1</v>
      </c>
      <c r="E4" s="50">
        <v>1</v>
      </c>
      <c r="F4" s="50">
        <v>1</v>
      </c>
      <c r="G4" s="50">
        <v>1</v>
      </c>
      <c r="H4" s="50">
        <v>1</v>
      </c>
      <c r="J4" s="50"/>
    </row>
    <row r="5" spans="1:10" x14ac:dyDescent="0.15">
      <c r="B5" s="145" t="s">
        <v>6</v>
      </c>
      <c r="C5" t="s">
        <v>153</v>
      </c>
      <c r="D5" s="50">
        <v>5.16</v>
      </c>
      <c r="E5" s="50">
        <v>1</v>
      </c>
      <c r="F5" s="50">
        <v>1</v>
      </c>
      <c r="G5" s="50">
        <v>1</v>
      </c>
      <c r="H5" s="52">
        <v>1</v>
      </c>
    </row>
    <row r="6" spans="1:10" x14ac:dyDescent="0.15">
      <c r="B6" s="145"/>
      <c r="C6" t="s">
        <v>154</v>
      </c>
      <c r="D6" s="50">
        <v>5.16</v>
      </c>
      <c r="E6" s="50">
        <v>1</v>
      </c>
      <c r="F6" s="50">
        <v>1</v>
      </c>
      <c r="G6" s="50">
        <v>1</v>
      </c>
      <c r="H6" s="52">
        <v>1</v>
      </c>
    </row>
    <row r="7" spans="1:10" x14ac:dyDescent="0.15">
      <c r="B7" s="145"/>
      <c r="C7" t="s">
        <v>164</v>
      </c>
      <c r="D7" s="50">
        <v>1</v>
      </c>
      <c r="E7" s="50">
        <v>1</v>
      </c>
      <c r="F7" s="50">
        <v>1</v>
      </c>
      <c r="G7" s="50">
        <v>1</v>
      </c>
      <c r="H7" s="50">
        <v>1</v>
      </c>
    </row>
    <row r="8" spans="1:10" x14ac:dyDescent="0.15">
      <c r="B8" s="145" t="s">
        <v>7</v>
      </c>
      <c r="C8" t="s">
        <v>153</v>
      </c>
      <c r="D8" s="50">
        <v>1</v>
      </c>
      <c r="E8" s="50">
        <v>5.16</v>
      </c>
      <c r="F8" s="50">
        <v>1</v>
      </c>
      <c r="G8" s="50">
        <v>1</v>
      </c>
      <c r="H8" s="52">
        <v>1</v>
      </c>
    </row>
    <row r="9" spans="1:10" x14ac:dyDescent="0.15">
      <c r="B9" s="145"/>
      <c r="C9" t="s">
        <v>154</v>
      </c>
      <c r="D9" s="50">
        <v>1</v>
      </c>
      <c r="E9" s="50">
        <v>5.16</v>
      </c>
      <c r="F9" s="50">
        <v>1</v>
      </c>
      <c r="G9" s="50">
        <v>1</v>
      </c>
      <c r="H9" s="52">
        <v>1</v>
      </c>
    </row>
    <row r="10" spans="1:10" x14ac:dyDescent="0.15">
      <c r="B10" s="145"/>
      <c r="C10" t="s">
        <v>164</v>
      </c>
      <c r="D10" s="50">
        <v>1</v>
      </c>
      <c r="E10" s="50">
        <v>1</v>
      </c>
      <c r="F10" s="50">
        <v>1</v>
      </c>
      <c r="G10" s="50">
        <v>1</v>
      </c>
      <c r="H10" s="50">
        <v>1</v>
      </c>
    </row>
    <row r="11" spans="1:10" x14ac:dyDescent="0.15">
      <c r="B11" s="145" t="s">
        <v>8</v>
      </c>
      <c r="C11" t="s">
        <v>153</v>
      </c>
      <c r="D11" s="50">
        <v>1</v>
      </c>
      <c r="E11" s="50">
        <v>1</v>
      </c>
      <c r="F11" s="50">
        <v>1.82</v>
      </c>
      <c r="G11" s="50">
        <v>1</v>
      </c>
      <c r="H11" s="52">
        <v>1</v>
      </c>
    </row>
    <row r="12" spans="1:10" x14ac:dyDescent="0.15">
      <c r="B12" s="145"/>
      <c r="C12" t="s">
        <v>154</v>
      </c>
      <c r="D12" s="50">
        <v>1</v>
      </c>
      <c r="E12" s="50">
        <v>1</v>
      </c>
      <c r="F12" s="50">
        <v>1.82</v>
      </c>
      <c r="G12" s="50">
        <v>1</v>
      </c>
      <c r="H12" s="52">
        <v>1</v>
      </c>
    </row>
    <row r="13" spans="1:10" x14ac:dyDescent="0.15">
      <c r="B13" s="145"/>
      <c r="C13" t="s">
        <v>164</v>
      </c>
      <c r="D13" s="50">
        <v>1</v>
      </c>
      <c r="E13" s="50">
        <v>1</v>
      </c>
      <c r="F13" s="50">
        <v>1</v>
      </c>
      <c r="G13" s="50">
        <v>1</v>
      </c>
      <c r="H13" s="50">
        <v>1</v>
      </c>
    </row>
    <row r="14" spans="1:10" x14ac:dyDescent="0.15">
      <c r="B14" s="145" t="s">
        <v>9</v>
      </c>
      <c r="C14" t="s">
        <v>153</v>
      </c>
      <c r="D14" s="50">
        <v>1</v>
      </c>
      <c r="E14" s="50">
        <v>1</v>
      </c>
      <c r="F14" s="50">
        <v>1</v>
      </c>
      <c r="G14" s="50">
        <v>1.82</v>
      </c>
      <c r="H14" s="52">
        <v>1</v>
      </c>
    </row>
    <row r="15" spans="1:10" x14ac:dyDescent="0.15">
      <c r="B15" s="145"/>
      <c r="C15" t="s">
        <v>154</v>
      </c>
      <c r="D15" s="50">
        <v>1</v>
      </c>
      <c r="E15" s="50">
        <v>1</v>
      </c>
      <c r="F15" s="50">
        <v>1</v>
      </c>
      <c r="G15" s="50">
        <v>1.82</v>
      </c>
      <c r="H15" s="52">
        <v>1</v>
      </c>
    </row>
    <row r="16" spans="1:10" x14ac:dyDescent="0.15">
      <c r="B16" s="145"/>
      <c r="C16" t="s">
        <v>164</v>
      </c>
      <c r="D16" s="50">
        <v>1</v>
      </c>
      <c r="E16" s="50">
        <v>1</v>
      </c>
      <c r="F16" s="50">
        <v>1</v>
      </c>
      <c r="G16" s="50">
        <v>1</v>
      </c>
      <c r="H16" s="50">
        <v>1</v>
      </c>
    </row>
    <row r="17" spans="1:8" x14ac:dyDescent="0.15">
      <c r="B17" s="61" t="s">
        <v>98</v>
      </c>
      <c r="C17" t="s">
        <v>164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2"/>
      <c r="E18" s="52"/>
      <c r="F18" s="52"/>
      <c r="G18" s="52"/>
      <c r="H18" s="52"/>
    </row>
    <row r="19" spans="1:8" x14ac:dyDescent="0.15">
      <c r="A19" s="54" t="s">
        <v>158</v>
      </c>
      <c r="B19" s="145" t="s">
        <v>73</v>
      </c>
      <c r="C19" t="s">
        <v>153</v>
      </c>
      <c r="D19" s="50">
        <v>1</v>
      </c>
      <c r="E19" s="50">
        <v>1</v>
      </c>
      <c r="F19" s="50">
        <v>1</v>
      </c>
      <c r="G19" s="50">
        <v>1</v>
      </c>
      <c r="H19" s="50">
        <v>1</v>
      </c>
    </row>
    <row r="20" spans="1:8" x14ac:dyDescent="0.15">
      <c r="B20" s="145"/>
      <c r="C20" t="s">
        <v>154</v>
      </c>
      <c r="D20" s="50">
        <v>1</v>
      </c>
      <c r="E20" s="50">
        <v>1</v>
      </c>
      <c r="F20" s="50">
        <v>1</v>
      </c>
      <c r="G20" s="50">
        <v>1</v>
      </c>
      <c r="H20" s="50">
        <v>1</v>
      </c>
    </row>
    <row r="21" spans="1:8" x14ac:dyDescent="0.15">
      <c r="B21" s="145"/>
      <c r="C21" t="s">
        <v>164</v>
      </c>
      <c r="D21" s="50">
        <v>1</v>
      </c>
      <c r="E21" s="50">
        <v>1</v>
      </c>
      <c r="F21" s="50">
        <v>1</v>
      </c>
      <c r="G21" s="50">
        <v>1</v>
      </c>
      <c r="H21" s="50">
        <v>1</v>
      </c>
    </row>
    <row r="22" spans="1:8" x14ac:dyDescent="0.15">
      <c r="B22" s="145" t="s">
        <v>6</v>
      </c>
      <c r="C22" t="s">
        <v>153</v>
      </c>
      <c r="D22" s="50">
        <v>1</v>
      </c>
      <c r="E22" s="50">
        <v>1</v>
      </c>
      <c r="F22" s="50">
        <v>1</v>
      </c>
      <c r="G22" s="50">
        <v>1</v>
      </c>
      <c r="H22" s="50">
        <v>1</v>
      </c>
    </row>
    <row r="23" spans="1:8" x14ac:dyDescent="0.15">
      <c r="B23" s="145"/>
      <c r="C23" t="s">
        <v>154</v>
      </c>
      <c r="D23" s="50">
        <v>1</v>
      </c>
      <c r="E23" s="50">
        <v>1</v>
      </c>
      <c r="F23" s="50">
        <v>1</v>
      </c>
      <c r="G23" s="50">
        <v>1</v>
      </c>
      <c r="H23" s="50">
        <v>1</v>
      </c>
    </row>
    <row r="24" spans="1:8" x14ac:dyDescent="0.15">
      <c r="B24" s="145"/>
      <c r="C24" t="s">
        <v>164</v>
      </c>
      <c r="D24" s="50">
        <v>1</v>
      </c>
      <c r="E24" s="50">
        <v>1</v>
      </c>
      <c r="F24" s="50">
        <v>1</v>
      </c>
      <c r="G24" s="50">
        <v>1</v>
      </c>
      <c r="H24" s="50">
        <v>1</v>
      </c>
    </row>
    <row r="25" spans="1:8" x14ac:dyDescent="0.15">
      <c r="B25" s="145" t="s">
        <v>7</v>
      </c>
      <c r="C25" t="s">
        <v>153</v>
      </c>
      <c r="D25" s="50">
        <v>1</v>
      </c>
      <c r="E25" s="50">
        <v>1</v>
      </c>
      <c r="F25" s="50">
        <v>1</v>
      </c>
      <c r="G25" s="50">
        <v>1</v>
      </c>
      <c r="H25" s="50">
        <v>1</v>
      </c>
    </row>
    <row r="26" spans="1:8" x14ac:dyDescent="0.15">
      <c r="B26" s="145"/>
      <c r="C26" t="s">
        <v>154</v>
      </c>
      <c r="D26" s="50">
        <v>1</v>
      </c>
      <c r="E26" s="50">
        <v>1</v>
      </c>
      <c r="F26" s="50">
        <v>1</v>
      </c>
      <c r="G26" s="50">
        <v>1</v>
      </c>
      <c r="H26" s="50">
        <v>1</v>
      </c>
    </row>
    <row r="27" spans="1:8" x14ac:dyDescent="0.15">
      <c r="B27" s="145"/>
      <c r="C27" t="s">
        <v>164</v>
      </c>
      <c r="D27" s="50">
        <v>1</v>
      </c>
      <c r="E27" s="50">
        <v>1</v>
      </c>
      <c r="F27" s="50">
        <v>1</v>
      </c>
      <c r="G27" s="50">
        <v>1</v>
      </c>
      <c r="H27" s="50">
        <v>1</v>
      </c>
    </row>
    <row r="28" spans="1:8" x14ac:dyDescent="0.15">
      <c r="B28" s="145" t="s">
        <v>8</v>
      </c>
      <c r="C28" t="s">
        <v>153</v>
      </c>
      <c r="D28" s="50">
        <v>1</v>
      </c>
      <c r="E28" s="50">
        <v>1</v>
      </c>
      <c r="F28" s="50">
        <v>1.82</v>
      </c>
      <c r="G28" s="50">
        <v>1</v>
      </c>
      <c r="H28" s="50">
        <v>1</v>
      </c>
    </row>
    <row r="29" spans="1:8" x14ac:dyDescent="0.15">
      <c r="B29" s="145"/>
      <c r="C29" t="s">
        <v>154</v>
      </c>
      <c r="D29" s="50">
        <v>1</v>
      </c>
      <c r="E29" s="50">
        <v>1</v>
      </c>
      <c r="F29" s="50">
        <v>1.82</v>
      </c>
      <c r="G29" s="50">
        <v>1</v>
      </c>
      <c r="H29" s="50">
        <v>1</v>
      </c>
    </row>
    <row r="30" spans="1:8" x14ac:dyDescent="0.15">
      <c r="B30" s="145"/>
      <c r="C30" t="s">
        <v>164</v>
      </c>
      <c r="D30" s="50">
        <v>1</v>
      </c>
      <c r="E30" s="50">
        <v>1</v>
      </c>
      <c r="F30" s="50">
        <v>1</v>
      </c>
      <c r="G30" s="50">
        <v>1</v>
      </c>
      <c r="H30" s="50">
        <v>1</v>
      </c>
    </row>
    <row r="31" spans="1:8" x14ac:dyDescent="0.15">
      <c r="B31" s="145" t="s">
        <v>9</v>
      </c>
      <c r="C31" t="s">
        <v>153</v>
      </c>
      <c r="D31" s="50">
        <v>1</v>
      </c>
      <c r="E31" s="50">
        <v>1</v>
      </c>
      <c r="F31" s="50">
        <v>1</v>
      </c>
      <c r="G31" s="50">
        <v>1.82</v>
      </c>
      <c r="H31" s="50">
        <v>1</v>
      </c>
    </row>
    <row r="32" spans="1:8" x14ac:dyDescent="0.15">
      <c r="B32" s="145"/>
      <c r="C32" t="s">
        <v>154</v>
      </c>
      <c r="D32" s="50">
        <v>1</v>
      </c>
      <c r="E32" s="50">
        <v>1</v>
      </c>
      <c r="F32" s="50">
        <v>1</v>
      </c>
      <c r="G32" s="50">
        <v>1.82</v>
      </c>
      <c r="H32" s="50">
        <v>1</v>
      </c>
    </row>
    <row r="33" spans="1:9" x14ac:dyDescent="0.15">
      <c r="B33" s="145"/>
      <c r="C33" t="s">
        <v>164</v>
      </c>
      <c r="D33" s="50">
        <v>1</v>
      </c>
      <c r="E33" s="50">
        <v>1</v>
      </c>
      <c r="F33" s="50">
        <v>1</v>
      </c>
      <c r="G33" s="50">
        <v>1</v>
      </c>
      <c r="H33" s="50">
        <v>1</v>
      </c>
    </row>
    <row r="34" spans="1:9" x14ac:dyDescent="0.15">
      <c r="B34" s="56" t="s">
        <v>98</v>
      </c>
      <c r="C34" t="s">
        <v>164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9" x14ac:dyDescent="0.15">
      <c r="A36" s="10" t="s">
        <v>187</v>
      </c>
      <c r="B36" s="145" t="s">
        <v>73</v>
      </c>
      <c r="C36" t="s">
        <v>153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</row>
    <row r="37" spans="1:9" x14ac:dyDescent="0.15">
      <c r="B37" s="145"/>
      <c r="C37" t="s">
        <v>154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</row>
    <row r="38" spans="1:9" x14ac:dyDescent="0.15">
      <c r="B38" s="145"/>
      <c r="C38" t="s">
        <v>164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/>
    </row>
    <row r="39" spans="1:9" x14ac:dyDescent="0.15">
      <c r="B39" s="145" t="s">
        <v>6</v>
      </c>
      <c r="C39" t="s">
        <v>153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</row>
    <row r="40" spans="1:9" x14ac:dyDescent="0.15">
      <c r="B40" s="145"/>
      <c r="C40" t="s">
        <v>154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</row>
    <row r="41" spans="1:9" x14ac:dyDescent="0.15">
      <c r="B41" s="145"/>
      <c r="C41" t="s">
        <v>164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</row>
    <row r="42" spans="1:9" x14ac:dyDescent="0.15">
      <c r="B42" s="145" t="s">
        <v>7</v>
      </c>
      <c r="C42" t="s">
        <v>153</v>
      </c>
      <c r="D42" s="50">
        <v>1</v>
      </c>
      <c r="E42" s="50">
        <v>1</v>
      </c>
      <c r="F42" s="50">
        <v>1</v>
      </c>
      <c r="G42" s="50">
        <v>1</v>
      </c>
      <c r="H42" s="50">
        <v>1</v>
      </c>
    </row>
    <row r="43" spans="1:9" x14ac:dyDescent="0.15">
      <c r="B43" s="145"/>
      <c r="C43" t="s">
        <v>154</v>
      </c>
      <c r="D43" s="50">
        <v>1</v>
      </c>
      <c r="E43" s="50">
        <v>1</v>
      </c>
      <c r="F43" s="50">
        <v>1</v>
      </c>
      <c r="G43" s="50">
        <v>1</v>
      </c>
      <c r="H43" s="50">
        <v>1</v>
      </c>
    </row>
    <row r="44" spans="1:9" x14ac:dyDescent="0.15">
      <c r="B44" s="145"/>
      <c r="C44" t="s">
        <v>164</v>
      </c>
      <c r="D44" s="50">
        <v>1</v>
      </c>
      <c r="E44" s="50">
        <v>1</v>
      </c>
      <c r="F44" s="50">
        <v>1</v>
      </c>
      <c r="G44" s="50">
        <v>1</v>
      </c>
      <c r="H44" s="50">
        <v>1</v>
      </c>
    </row>
    <row r="45" spans="1:9" x14ac:dyDescent="0.15">
      <c r="B45" s="145" t="s">
        <v>8</v>
      </c>
      <c r="C45" t="s">
        <v>153</v>
      </c>
      <c r="D45" s="50">
        <v>1</v>
      </c>
      <c r="E45" s="50">
        <v>1</v>
      </c>
      <c r="F45" s="50">
        <v>0.78</v>
      </c>
      <c r="G45" s="50">
        <v>1</v>
      </c>
      <c r="H45" s="50">
        <v>1</v>
      </c>
    </row>
    <row r="46" spans="1:9" x14ac:dyDescent="0.15">
      <c r="B46" s="145"/>
      <c r="C46" t="s">
        <v>154</v>
      </c>
      <c r="D46" s="50">
        <v>1</v>
      </c>
      <c r="E46" s="50">
        <v>1</v>
      </c>
      <c r="F46" s="50">
        <v>0.78</v>
      </c>
      <c r="G46" s="50">
        <v>1</v>
      </c>
      <c r="H46" s="50">
        <v>1</v>
      </c>
    </row>
    <row r="47" spans="1:9" x14ac:dyDescent="0.15">
      <c r="B47" s="145"/>
      <c r="C47" t="s">
        <v>164</v>
      </c>
      <c r="D47" s="50">
        <v>1</v>
      </c>
      <c r="E47" s="50">
        <v>1</v>
      </c>
      <c r="F47" s="50">
        <v>1</v>
      </c>
      <c r="G47" s="50">
        <v>1</v>
      </c>
      <c r="H47" s="50">
        <v>1</v>
      </c>
    </row>
    <row r="48" spans="1:9" x14ac:dyDescent="0.15">
      <c r="B48" s="145" t="s">
        <v>9</v>
      </c>
      <c r="C48" t="s">
        <v>153</v>
      </c>
      <c r="D48" s="50">
        <v>1</v>
      </c>
      <c r="E48" s="50">
        <v>1</v>
      </c>
      <c r="F48" s="50">
        <v>1</v>
      </c>
      <c r="G48" s="50">
        <v>0.78</v>
      </c>
      <c r="H48" s="50">
        <v>1</v>
      </c>
    </row>
    <row r="49" spans="2:8" x14ac:dyDescent="0.15">
      <c r="B49" s="145"/>
      <c r="C49" t="s">
        <v>154</v>
      </c>
      <c r="D49" s="50">
        <v>1</v>
      </c>
      <c r="E49" s="50">
        <v>1</v>
      </c>
      <c r="F49" s="50">
        <v>1</v>
      </c>
      <c r="G49" s="50">
        <v>0.78</v>
      </c>
      <c r="H49" s="50">
        <v>1</v>
      </c>
    </row>
    <row r="50" spans="2:8" x14ac:dyDescent="0.15">
      <c r="B50" s="145"/>
      <c r="C50" t="s">
        <v>164</v>
      </c>
      <c r="D50" s="50">
        <v>1</v>
      </c>
      <c r="E50" s="50">
        <v>1</v>
      </c>
      <c r="F50" s="50">
        <v>1</v>
      </c>
      <c r="G50" s="50">
        <v>1</v>
      </c>
      <c r="H50" s="50">
        <v>1</v>
      </c>
    </row>
    <row r="51" spans="2:8" x14ac:dyDescent="0.15">
      <c r="B51" s="64" t="s">
        <v>98</v>
      </c>
      <c r="C51" t="s">
        <v>164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workbookViewId="0"/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160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69" t="s">
        <v>161</v>
      </c>
      <c r="B2" s="70" t="s">
        <v>73</v>
      </c>
      <c r="C2" s="70"/>
      <c r="D2" s="70"/>
      <c r="E2" s="71"/>
    </row>
    <row r="3" spans="1:5" x14ac:dyDescent="0.15">
      <c r="A3" s="72"/>
      <c r="B3" s="73" t="s">
        <v>6</v>
      </c>
      <c r="C3" s="73"/>
      <c r="D3" s="119" t="s">
        <v>165</v>
      </c>
      <c r="E3" s="74"/>
    </row>
    <row r="4" spans="1:5" x14ac:dyDescent="0.15">
      <c r="A4" s="72"/>
      <c r="B4" s="73" t="s">
        <v>7</v>
      </c>
      <c r="C4" s="73"/>
      <c r="D4" s="119" t="s">
        <v>165</v>
      </c>
      <c r="E4" s="74"/>
    </row>
    <row r="5" spans="1:5" x14ac:dyDescent="0.15">
      <c r="A5" s="72"/>
      <c r="B5" s="73" t="s">
        <v>8</v>
      </c>
      <c r="C5" s="73"/>
      <c r="D5" s="120" t="s">
        <v>165</v>
      </c>
      <c r="E5" s="74"/>
    </row>
    <row r="6" spans="1:5" x14ac:dyDescent="0.15">
      <c r="A6" s="72"/>
      <c r="B6" s="73" t="s">
        <v>9</v>
      </c>
      <c r="C6" s="73"/>
      <c r="D6" s="120" t="s">
        <v>165</v>
      </c>
      <c r="E6" s="74"/>
    </row>
    <row r="7" spans="1:5" x14ac:dyDescent="0.15">
      <c r="A7" s="75"/>
      <c r="B7" s="76" t="s">
        <v>98</v>
      </c>
      <c r="C7" s="77"/>
      <c r="D7" s="77"/>
      <c r="E7" s="78"/>
    </row>
    <row r="9" spans="1:5" x14ac:dyDescent="0.15">
      <c r="A9" s="69" t="s">
        <v>162</v>
      </c>
      <c r="B9" s="70" t="s">
        <v>73</v>
      </c>
      <c r="C9" s="70"/>
      <c r="D9" s="70"/>
      <c r="E9" s="71"/>
    </row>
    <row r="10" spans="1:5" x14ac:dyDescent="0.15">
      <c r="A10" s="72"/>
      <c r="B10" s="73" t="s">
        <v>6</v>
      </c>
      <c r="C10" s="73"/>
      <c r="D10" s="73"/>
      <c r="E10" s="74"/>
    </row>
    <row r="11" spans="1:5" x14ac:dyDescent="0.15">
      <c r="A11" s="72"/>
      <c r="B11" s="73" t="s">
        <v>7</v>
      </c>
      <c r="C11" s="73"/>
      <c r="D11" s="73"/>
      <c r="E11" s="74"/>
    </row>
    <row r="12" spans="1:5" x14ac:dyDescent="0.15">
      <c r="A12" s="72"/>
      <c r="B12" s="73" t="s">
        <v>8</v>
      </c>
      <c r="C12" s="73"/>
      <c r="D12" s="73"/>
      <c r="E12" s="74"/>
    </row>
    <row r="13" spans="1:5" x14ac:dyDescent="0.15">
      <c r="A13" s="72"/>
      <c r="B13" s="73" t="s">
        <v>9</v>
      </c>
      <c r="C13" s="73"/>
      <c r="D13" s="73"/>
      <c r="E13" s="74"/>
    </row>
    <row r="14" spans="1:5" x14ac:dyDescent="0.15">
      <c r="A14" s="75"/>
      <c r="B14" s="76" t="s">
        <v>98</v>
      </c>
      <c r="C14" s="77"/>
      <c r="D14" s="77"/>
      <c r="E14" s="78"/>
    </row>
    <row r="16" spans="1:5" x14ac:dyDescent="0.15">
      <c r="A16" s="69" t="s">
        <v>163</v>
      </c>
      <c r="B16" s="70" t="s">
        <v>73</v>
      </c>
      <c r="C16" s="70"/>
      <c r="D16" s="70"/>
      <c r="E16" s="71"/>
    </row>
    <row r="17" spans="1:5" x14ac:dyDescent="0.15">
      <c r="A17" s="72"/>
      <c r="B17" s="73" t="s">
        <v>6</v>
      </c>
      <c r="C17" s="73"/>
      <c r="D17" s="73"/>
      <c r="E17" s="74"/>
    </row>
    <row r="18" spans="1:5" x14ac:dyDescent="0.15">
      <c r="A18" s="72"/>
      <c r="B18" s="73" t="s">
        <v>7</v>
      </c>
      <c r="C18" s="73"/>
      <c r="D18" s="73"/>
      <c r="E18" s="74"/>
    </row>
    <row r="19" spans="1:5" x14ac:dyDescent="0.15">
      <c r="A19" s="72"/>
      <c r="B19" s="73" t="s">
        <v>8</v>
      </c>
      <c r="C19" s="73"/>
      <c r="D19" s="73"/>
      <c r="E19" s="74"/>
    </row>
    <row r="20" spans="1:5" x14ac:dyDescent="0.15">
      <c r="A20" s="72"/>
      <c r="B20" s="73" t="s">
        <v>9</v>
      </c>
      <c r="C20" s="73"/>
      <c r="D20" s="73"/>
      <c r="E20" s="74"/>
    </row>
    <row r="21" spans="1:5" x14ac:dyDescent="0.15">
      <c r="A21" s="75"/>
      <c r="B21" s="76" t="s">
        <v>98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/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181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10" t="s">
        <v>182</v>
      </c>
      <c r="B2" t="s">
        <v>73</v>
      </c>
      <c r="C2">
        <f>'Baseline year demographics'!C10</f>
        <v>0.51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0.37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0.37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0.37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0.37</v>
      </c>
      <c r="D6">
        <v>1</v>
      </c>
      <c r="E6">
        <v>1</v>
      </c>
    </row>
    <row r="8" spans="1:5" x14ac:dyDescent="0.15">
      <c r="A8" s="10" t="s">
        <v>183</v>
      </c>
      <c r="B8" t="s">
        <v>73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/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193</v>
      </c>
      <c r="B1" s="10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/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135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138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77</v>
      </c>
      <c r="B8" t="s">
        <v>49</v>
      </c>
      <c r="C8" s="35">
        <v>0.15</v>
      </c>
      <c r="D8" s="3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9">
        <v>1</v>
      </c>
      <c r="F9" s="9">
        <v>1</v>
      </c>
    </row>
    <row r="10" spans="1:6" ht="15.75" customHeight="1" x14ac:dyDescent="0.15">
      <c r="A10" t="s">
        <v>139</v>
      </c>
      <c r="B10" t="s">
        <v>49</v>
      </c>
      <c r="C10" s="35">
        <v>0.15</v>
      </c>
      <c r="D10" s="3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9">
        <v>1</v>
      </c>
      <c r="F11" s="9">
        <v>1</v>
      </c>
    </row>
    <row r="12" spans="1:6" ht="15.75" customHeight="1" x14ac:dyDescent="0.15">
      <c r="A12" t="s">
        <v>119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35">
        <v>0</v>
      </c>
      <c r="F13" s="35">
        <v>0</v>
      </c>
    </row>
    <row r="14" spans="1:6" ht="15.75" customHeight="1" x14ac:dyDescent="0.15">
      <c r="A14" s="4" t="s">
        <v>78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/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x14ac:dyDescent="0.15">
      <c r="A2" s="10" t="s">
        <v>201</v>
      </c>
      <c r="B2" s="45" t="s">
        <v>77</v>
      </c>
      <c r="C2" s="44">
        <v>1</v>
      </c>
      <c r="D2" s="44">
        <v>1</v>
      </c>
      <c r="E2" s="42">
        <v>1</v>
      </c>
      <c r="F2" s="42">
        <v>1</v>
      </c>
      <c r="G2" s="42">
        <v>1</v>
      </c>
      <c r="H2" s="42">
        <v>1</v>
      </c>
      <c r="I2" s="42">
        <v>1</v>
      </c>
      <c r="J2" s="42">
        <v>1</v>
      </c>
      <c r="K2" s="42">
        <v>1</v>
      </c>
      <c r="L2" s="44">
        <v>0.3</v>
      </c>
      <c r="M2" s="44">
        <v>0.3</v>
      </c>
      <c r="N2" s="44">
        <v>0.3</v>
      </c>
      <c r="O2" s="44">
        <v>0.3</v>
      </c>
    </row>
    <row r="3" spans="1:15" x14ac:dyDescent="0.15">
      <c r="B3" s="45" t="s">
        <v>139</v>
      </c>
      <c r="C3" s="44">
        <v>1</v>
      </c>
      <c r="D3" s="44">
        <v>1</v>
      </c>
      <c r="E3" s="42">
        <v>1</v>
      </c>
      <c r="F3" s="42">
        <v>1</v>
      </c>
      <c r="G3" s="42">
        <v>1</v>
      </c>
      <c r="H3" s="42">
        <v>1</v>
      </c>
      <c r="I3" s="42">
        <v>1</v>
      </c>
      <c r="J3" s="42">
        <v>1</v>
      </c>
      <c r="K3" s="42">
        <v>1</v>
      </c>
      <c r="L3" s="44">
        <v>0.3</v>
      </c>
      <c r="M3" s="44">
        <v>0.3</v>
      </c>
      <c r="N3" s="44">
        <v>0.3</v>
      </c>
      <c r="O3" s="44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4">
        <v>0.6</v>
      </c>
      <c r="F21" s="44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4">
        <v>0.6</v>
      </c>
      <c r="F22" s="44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4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4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4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202</v>
      </c>
      <c r="B27" s="4" t="s">
        <v>80</v>
      </c>
      <c r="C27">
        <v>1</v>
      </c>
      <c r="D27">
        <v>1</v>
      </c>
      <c r="E27" s="41">
        <v>0.97599999999999998</v>
      </c>
      <c r="F27" s="41">
        <v>0.97599999999999998</v>
      </c>
      <c r="G27" s="41">
        <v>0.97599999999999998</v>
      </c>
      <c r="H27" s="41">
        <v>0.97599999999999998</v>
      </c>
      <c r="I27" s="41">
        <v>0.97599999999999998</v>
      </c>
      <c r="J27" s="41">
        <v>0.97599999999999998</v>
      </c>
      <c r="K27" s="41">
        <v>0.97599999999999998</v>
      </c>
      <c r="L27" s="41">
        <v>0.97599999999999998</v>
      </c>
      <c r="M27" s="41">
        <v>0.97599999999999998</v>
      </c>
      <c r="N27" s="41">
        <v>0.97599999999999998</v>
      </c>
      <c r="O27" s="41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1">
        <v>0.97599999999999998</v>
      </c>
      <c r="F28" s="41">
        <v>0.97599999999999998</v>
      </c>
      <c r="G28" s="41">
        <v>0.97599999999999998</v>
      </c>
      <c r="H28" s="41">
        <v>0.97599999999999998</v>
      </c>
      <c r="I28" s="41">
        <v>0.97599999999999998</v>
      </c>
      <c r="J28" s="41">
        <v>0.97599999999999998</v>
      </c>
      <c r="K28" s="41">
        <v>0.97599999999999998</v>
      </c>
      <c r="L28" s="41">
        <v>0.97599999999999998</v>
      </c>
      <c r="M28" s="41">
        <v>0.97599999999999998</v>
      </c>
      <c r="N28" s="41">
        <v>0.97599999999999998</v>
      </c>
      <c r="O28" s="41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1">
        <v>0.97599999999999998</v>
      </c>
      <c r="F29" s="41">
        <v>0.97599999999999998</v>
      </c>
      <c r="G29" s="41">
        <v>0.97599999999999998</v>
      </c>
      <c r="H29" s="41">
        <v>0.97599999999999998</v>
      </c>
      <c r="I29" s="41">
        <v>0.97599999999999998</v>
      </c>
      <c r="J29" s="41">
        <v>0.97599999999999998</v>
      </c>
      <c r="K29" s="41">
        <v>0.97599999999999998</v>
      </c>
      <c r="L29" s="41">
        <v>0.97599999999999998</v>
      </c>
      <c r="M29" s="41">
        <v>0.97599999999999998</v>
      </c>
      <c r="N29" s="41">
        <v>0.97599999999999998</v>
      </c>
      <c r="O29" s="41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2">
        <v>0.9</v>
      </c>
      <c r="F30" s="42">
        <v>0.9</v>
      </c>
      <c r="G30" s="42">
        <v>0.9</v>
      </c>
      <c r="H30" s="42">
        <v>0.9</v>
      </c>
      <c r="I30" s="42">
        <v>0.9</v>
      </c>
      <c r="J30" s="42">
        <v>0.9</v>
      </c>
      <c r="K30" s="42">
        <v>0.9</v>
      </c>
      <c r="L30" s="42">
        <v>0.9</v>
      </c>
      <c r="M30" s="42">
        <v>0.9</v>
      </c>
      <c r="N30" s="42">
        <v>0.9</v>
      </c>
      <c r="O30" s="42">
        <v>0.9</v>
      </c>
    </row>
    <row r="31" spans="1:15" x14ac:dyDescent="0.15">
      <c r="B31" s="45" t="s">
        <v>144</v>
      </c>
      <c r="C31">
        <v>1</v>
      </c>
      <c r="D31">
        <v>1</v>
      </c>
      <c r="E31" s="41">
        <v>0.97599999999999998</v>
      </c>
      <c r="F31" s="41">
        <v>0.97599999999999998</v>
      </c>
      <c r="G31" s="41">
        <v>0.97599999999999998</v>
      </c>
      <c r="H31" s="41">
        <v>0.97599999999999998</v>
      </c>
      <c r="I31" s="41">
        <v>0.97599999999999998</v>
      </c>
      <c r="J31" s="41">
        <v>0.97599999999999998</v>
      </c>
      <c r="K31" s="41">
        <v>0.97599999999999998</v>
      </c>
      <c r="L31" s="41">
        <v>0.97599999999999998</v>
      </c>
      <c r="M31" s="41">
        <v>0.97599999999999998</v>
      </c>
      <c r="N31" s="41">
        <v>0.97599999999999998</v>
      </c>
      <c r="O31" s="41">
        <v>0.97599999999999998</v>
      </c>
    </row>
    <row r="32" spans="1:15" x14ac:dyDescent="0.15">
      <c r="B32" s="45" t="s">
        <v>145</v>
      </c>
      <c r="C32">
        <v>1</v>
      </c>
      <c r="D32">
        <v>1</v>
      </c>
      <c r="E32" s="41">
        <v>0.97599999999999998</v>
      </c>
      <c r="F32" s="41">
        <v>0.97599999999999998</v>
      </c>
      <c r="G32" s="41">
        <v>0.97599999999999998</v>
      </c>
      <c r="H32" s="41">
        <v>0.97599999999999998</v>
      </c>
      <c r="I32" s="41">
        <v>0.97599999999999998</v>
      </c>
      <c r="J32" s="41">
        <v>0.97599999999999998</v>
      </c>
      <c r="K32" s="41">
        <v>0.97599999999999998</v>
      </c>
      <c r="L32" s="41">
        <v>0.97599999999999998</v>
      </c>
      <c r="M32" s="41">
        <v>0.97599999999999998</v>
      </c>
      <c r="N32" s="41">
        <v>0.97599999999999998</v>
      </c>
      <c r="O32" s="41">
        <v>0.97599999999999998</v>
      </c>
    </row>
    <row r="33" spans="2:15" x14ac:dyDescent="0.15">
      <c r="B33" s="45" t="s">
        <v>146</v>
      </c>
      <c r="C33">
        <v>1</v>
      </c>
      <c r="D33">
        <v>1</v>
      </c>
      <c r="E33" s="41">
        <v>0.97599999999999998</v>
      </c>
      <c r="F33" s="41">
        <v>0.97599999999999998</v>
      </c>
      <c r="G33" s="41">
        <v>0.97599999999999998</v>
      </c>
      <c r="H33" s="41">
        <v>0.97599999999999998</v>
      </c>
      <c r="I33" s="41">
        <v>0.97599999999999998</v>
      </c>
      <c r="J33" s="41">
        <v>0.97599999999999998</v>
      </c>
      <c r="K33" s="41">
        <v>0.97599999999999998</v>
      </c>
      <c r="L33" s="41">
        <v>0.97599999999999998</v>
      </c>
      <c r="M33" s="41">
        <v>0.97599999999999998</v>
      </c>
      <c r="N33" s="41">
        <v>0.97599999999999998</v>
      </c>
      <c r="O33" s="41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/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255</v>
      </c>
      <c r="B2" s="44" t="s">
        <v>152</v>
      </c>
      <c r="C2" s="44">
        <v>1</v>
      </c>
      <c r="D2" s="44">
        <v>0.21</v>
      </c>
      <c r="E2" s="44">
        <v>0.21</v>
      </c>
      <c r="F2" s="44">
        <v>0.21</v>
      </c>
      <c r="G2" s="44">
        <v>0.21</v>
      </c>
    </row>
    <row r="4" spans="1:7" x14ac:dyDescent="0.15">
      <c r="A4" s="10" t="s">
        <v>256</v>
      </c>
      <c r="B4" s="45" t="s">
        <v>151</v>
      </c>
      <c r="C4" s="44">
        <v>1</v>
      </c>
      <c r="D4" s="44">
        <v>0.14299999999999999</v>
      </c>
      <c r="E4" s="44">
        <v>0.14299999999999999</v>
      </c>
      <c r="F4" s="44">
        <v>0.14299999999999999</v>
      </c>
      <c r="G4" s="44">
        <v>0.14299999999999999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/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61</v>
      </c>
      <c r="I1" s="10" t="s">
        <v>50</v>
      </c>
      <c r="J1" s="10" t="s">
        <v>68</v>
      </c>
      <c r="K1" s="10" t="s">
        <v>83</v>
      </c>
      <c r="L1" s="10" t="s">
        <v>106</v>
      </c>
    </row>
    <row r="2" spans="1:12" ht="15.75" customHeight="1" x14ac:dyDescent="0.15">
      <c r="A2" s="3">
        <v>2017</v>
      </c>
      <c r="B2" s="20">
        <v>2110000</v>
      </c>
      <c r="C2" s="21">
        <v>9862402</v>
      </c>
      <c r="D2" s="21">
        <v>3032037</v>
      </c>
      <c r="E2" s="21">
        <v>4756743</v>
      </c>
      <c r="F2" s="21">
        <v>3406589</v>
      </c>
      <c r="G2" s="21">
        <v>2174712</v>
      </c>
      <c r="H2" s="22">
        <f>D2+E2+F2+G2</f>
        <v>13370081</v>
      </c>
      <c r="I2" s="23">
        <f>(B2 + 'Baseline year demographics'!$C$20*B2/(1000-'Baseline year demographics'!$C$21))/(1-'Baseline year demographics'!$C$19)</f>
        <v>2481006.778661951</v>
      </c>
      <c r="J2" s="24">
        <f t="shared" ref="J2:J15" si="0">D2/H2</f>
        <v>0.22677775848927167</v>
      </c>
      <c r="K2" s="22">
        <f>H2-I2</f>
        <v>10889074.221338049</v>
      </c>
      <c r="L2" s="40">
        <v>57310019</v>
      </c>
    </row>
    <row r="3" spans="1:12" ht="15.75" customHeight="1" x14ac:dyDescent="0.15">
      <c r="A3" s="3">
        <v>2018</v>
      </c>
      <c r="B3" s="20">
        <v>2150000</v>
      </c>
      <c r="C3" s="21">
        <v>10050371</v>
      </c>
      <c r="D3" s="21">
        <v>3164674</v>
      </c>
      <c r="E3" s="21">
        <v>4882700</v>
      </c>
      <c r="F3" s="21">
        <v>3520083</v>
      </c>
      <c r="G3" s="21">
        <v>2275309</v>
      </c>
      <c r="H3" s="22">
        <f t="shared" ref="H3:H15" si="1">D3+E3+F3+G3</f>
        <v>13842766</v>
      </c>
      <c r="I3" s="23">
        <f>(B3 + 'Baseline year demographics'!$C$20*B3/(1000-'Baseline year demographics'!$C$21))/(1-'Baseline year demographics'!$C$19)</f>
        <v>2528040.0825228412</v>
      </c>
      <c r="J3" s="24">
        <f t="shared" si="0"/>
        <v>0.22861572607671038</v>
      </c>
      <c r="K3" s="22">
        <f t="shared" ref="K3:K15" si="2">H3-I3</f>
        <v>11314725.917477159</v>
      </c>
      <c r="L3" s="40">
        <v>59091392</v>
      </c>
    </row>
    <row r="4" spans="1:12" ht="15.75" customHeight="1" x14ac:dyDescent="0.15">
      <c r="A4" s="3">
        <v>2019</v>
      </c>
      <c r="B4" s="20">
        <v>2200000</v>
      </c>
      <c r="C4" s="21">
        <v>10237786</v>
      </c>
      <c r="D4" s="21">
        <v>3296354</v>
      </c>
      <c r="E4" s="21">
        <v>5018666</v>
      </c>
      <c r="F4" s="21">
        <v>3634703</v>
      </c>
      <c r="G4" s="21">
        <v>2379017</v>
      </c>
      <c r="H4" s="22">
        <f t="shared" si="1"/>
        <v>14328740</v>
      </c>
      <c r="I4" s="23">
        <f>(B4 + 'Baseline year demographics'!$C$20*B4/(1000-'Baseline year demographics'!$C$21))/(1-'Baseline year demographics'!$C$19)</f>
        <v>2586831.7123489534</v>
      </c>
      <c r="J4" s="24">
        <f t="shared" si="0"/>
        <v>0.23005190965849057</v>
      </c>
      <c r="K4" s="22">
        <f t="shared" si="2"/>
        <v>11741908.287651047</v>
      </c>
      <c r="L4" s="40">
        <v>60913557</v>
      </c>
    </row>
    <row r="5" spans="1:12" ht="15.75" customHeight="1" x14ac:dyDescent="0.15">
      <c r="A5" s="3">
        <v>2020</v>
      </c>
      <c r="B5" s="20">
        <v>2240000</v>
      </c>
      <c r="C5" s="21">
        <v>10438537</v>
      </c>
      <c r="D5" s="21">
        <v>3418969</v>
      </c>
      <c r="E5" s="21">
        <v>5168014</v>
      </c>
      <c r="F5" s="21">
        <v>3750324</v>
      </c>
      <c r="G5" s="21">
        <v>2484409</v>
      </c>
      <c r="H5" s="22">
        <f t="shared" si="1"/>
        <v>14821716</v>
      </c>
      <c r="I5" s="23">
        <f>(B5 + 'Baseline year demographics'!$C$20*B5/(1000-'Baseline year demographics'!$C$21))/(1-'Baseline year demographics'!$C$19)</f>
        <v>2633865.0162098436</v>
      </c>
      <c r="J5" s="24">
        <f t="shared" si="0"/>
        <v>0.23067295311824892</v>
      </c>
      <c r="K5" s="22">
        <f t="shared" si="2"/>
        <v>12187850.983790156</v>
      </c>
      <c r="L5" s="40">
        <v>62774619</v>
      </c>
    </row>
    <row r="6" spans="1:12" ht="15.75" customHeight="1" x14ac:dyDescent="0.15">
      <c r="A6" s="3">
        <v>2021</v>
      </c>
      <c r="B6" s="20">
        <v>2280000</v>
      </c>
      <c r="C6" s="21">
        <v>10636534</v>
      </c>
      <c r="D6" s="21">
        <v>3532758</v>
      </c>
      <c r="E6" s="21">
        <v>5332455</v>
      </c>
      <c r="F6" s="21">
        <v>3869436</v>
      </c>
      <c r="G6" s="21">
        <v>2592003</v>
      </c>
      <c r="H6" s="22">
        <f t="shared" si="1"/>
        <v>15326652</v>
      </c>
      <c r="I6" s="23">
        <f>(B6 + 'Baseline year demographics'!$C$20*B6/(1000-'Baseline year demographics'!$C$21))/(1-'Baseline year demographics'!$C$19)</f>
        <v>2680898.3200707338</v>
      </c>
      <c r="J6" s="24">
        <f t="shared" si="0"/>
        <v>0.23049769773594389</v>
      </c>
      <c r="K6" s="22">
        <f t="shared" si="2"/>
        <v>12645753.679929266</v>
      </c>
      <c r="L6" s="40">
        <v>64673854</v>
      </c>
    </row>
    <row r="7" spans="1:12" ht="15.75" customHeight="1" x14ac:dyDescent="0.15">
      <c r="A7" s="3">
        <v>2022</v>
      </c>
      <c r="B7" s="20">
        <v>2330000</v>
      </c>
      <c r="C7" s="21">
        <v>10854967</v>
      </c>
      <c r="D7" s="21">
        <v>3637390</v>
      </c>
      <c r="E7" s="21">
        <v>5508952</v>
      </c>
      <c r="F7" s="21">
        <v>3990560</v>
      </c>
      <c r="G7" s="21">
        <v>2701259</v>
      </c>
      <c r="H7" s="22">
        <f t="shared" si="1"/>
        <v>15838161</v>
      </c>
      <c r="I7" s="23">
        <f>(B7 + 'Baseline year demographics'!$C$20*B7/(1000-'Baseline year demographics'!$C$21))/(1-'Baseline year demographics'!$C$19)</f>
        <v>2739689.9498968464</v>
      </c>
      <c r="J7" s="24">
        <f t="shared" si="0"/>
        <v>0.22965987023367171</v>
      </c>
      <c r="K7" s="22">
        <f t="shared" si="2"/>
        <v>13098471.050103154</v>
      </c>
      <c r="L7" s="40">
        <v>66612147</v>
      </c>
    </row>
    <row r="8" spans="1:12" ht="15.75" customHeight="1" x14ac:dyDescent="0.15">
      <c r="A8" s="3">
        <v>2023</v>
      </c>
      <c r="B8" s="20">
        <v>2380000</v>
      </c>
      <c r="C8" s="21">
        <v>11089897</v>
      </c>
      <c r="D8" s="21">
        <v>3737403</v>
      </c>
      <c r="E8" s="21">
        <v>5696990</v>
      </c>
      <c r="F8" s="21">
        <v>4112898</v>
      </c>
      <c r="G8" s="21">
        <v>2811667</v>
      </c>
      <c r="H8" s="22">
        <f t="shared" si="1"/>
        <v>16358958</v>
      </c>
      <c r="I8" s="23">
        <f>(B8 + 'Baseline year demographics'!$C$20*B8/(1000-'Baseline year demographics'!$C$21))/(1-'Baseline year demographics'!$C$19)</f>
        <v>2798481.5797229591</v>
      </c>
      <c r="J8" s="24">
        <f t="shared" si="0"/>
        <v>0.22846216733364069</v>
      </c>
      <c r="K8" s="22">
        <f t="shared" si="2"/>
        <v>13560476.42027704</v>
      </c>
      <c r="L8" s="40">
        <v>68591196</v>
      </c>
    </row>
    <row r="9" spans="1:12" ht="15.75" customHeight="1" x14ac:dyDescent="0.15">
      <c r="A9" s="3">
        <v>2024</v>
      </c>
      <c r="B9" s="20">
        <v>2420000</v>
      </c>
      <c r="C9" s="21">
        <v>11331595</v>
      </c>
      <c r="D9" s="21">
        <v>3840674</v>
      </c>
      <c r="E9" s="21">
        <v>5895615</v>
      </c>
      <c r="F9" s="21">
        <v>4235117</v>
      </c>
      <c r="G9" s="21">
        <v>2922818</v>
      </c>
      <c r="H9" s="22">
        <f t="shared" si="1"/>
        <v>16894224</v>
      </c>
      <c r="I9" s="23">
        <f>(B9 + 'Baseline year demographics'!$C$20*B9/(1000-'Baseline year demographics'!$C$21))/(1-'Baseline year demographics'!$C$19)</f>
        <v>2845514.8835838488</v>
      </c>
      <c r="J9" s="24">
        <f t="shared" si="0"/>
        <v>0.22733651453893355</v>
      </c>
      <c r="K9" s="22">
        <f t="shared" si="2"/>
        <v>14048709.116416151</v>
      </c>
      <c r="L9" s="40">
        <v>70613532</v>
      </c>
    </row>
    <row r="10" spans="1:12" ht="15.75" customHeight="1" x14ac:dyDescent="0.15">
      <c r="A10" s="3">
        <v>2025</v>
      </c>
      <c r="B10" s="20">
        <v>2480000</v>
      </c>
      <c r="C10" s="21">
        <v>11574198</v>
      </c>
      <c r="D10" s="21">
        <v>3951644</v>
      </c>
      <c r="E10" s="21">
        <v>6103745</v>
      </c>
      <c r="F10" s="21">
        <v>4356516</v>
      </c>
      <c r="G10" s="21">
        <v>3034340</v>
      </c>
      <c r="H10" s="22">
        <f t="shared" si="1"/>
        <v>17446245</v>
      </c>
      <c r="I10" s="23">
        <f>(B10 + 'Baseline year demographics'!$C$20*B10/(1000-'Baseline year demographics'!$C$21))/(1-'Baseline year demographics'!$C$19)</f>
        <v>2916064.8393751844</v>
      </c>
      <c r="J10" s="24">
        <f t="shared" si="0"/>
        <v>0.22650398409514483</v>
      </c>
      <c r="K10" s="22">
        <f t="shared" si="2"/>
        <v>14530180.160624815</v>
      </c>
      <c r="L10" s="40">
        <v>72681070</v>
      </c>
    </row>
    <row r="11" spans="1:12" ht="15.75" customHeight="1" x14ac:dyDescent="0.15">
      <c r="A11" s="3">
        <v>2026</v>
      </c>
      <c r="B11" s="20">
        <v>2530000</v>
      </c>
      <c r="C11" s="21">
        <v>11838769</v>
      </c>
      <c r="D11" s="21">
        <v>4065313</v>
      </c>
      <c r="E11" s="21">
        <v>6319831</v>
      </c>
      <c r="F11" s="21">
        <v>4477188</v>
      </c>
      <c r="G11" s="21">
        <v>3144612</v>
      </c>
      <c r="H11" s="22">
        <f t="shared" si="1"/>
        <v>18006944</v>
      </c>
      <c r="I11" s="23">
        <f>(B11 + 'Baseline year demographics'!$C$20*B11/(1000-'Baseline year demographics'!$C$21))/(1-'Baseline year demographics'!$C$19)</f>
        <v>2974856.4692012966</v>
      </c>
      <c r="J11" s="24">
        <f t="shared" si="0"/>
        <v>0.22576362763165145</v>
      </c>
      <c r="K11" s="22">
        <f t="shared" si="2"/>
        <v>15032087.530798703</v>
      </c>
      <c r="L11" s="40">
        <v>74794078</v>
      </c>
    </row>
    <row r="12" spans="1:12" ht="15.75" customHeight="1" x14ac:dyDescent="0.15">
      <c r="A12" s="3">
        <v>2027</v>
      </c>
      <c r="B12" s="20">
        <v>2580000</v>
      </c>
      <c r="C12" s="21">
        <v>12092177</v>
      </c>
      <c r="D12" s="21">
        <v>4185562</v>
      </c>
      <c r="E12" s="21">
        <v>6545116</v>
      </c>
      <c r="F12" s="21">
        <v>4597739</v>
      </c>
      <c r="G12" s="21">
        <v>3255252</v>
      </c>
      <c r="H12" s="22">
        <f t="shared" si="1"/>
        <v>18583669</v>
      </c>
      <c r="I12" s="23">
        <f>(B12 + 'Baseline year demographics'!$C$20*B12/(1000-'Baseline year demographics'!$C$21))/(1-'Baseline year demographics'!$C$19)</f>
        <v>3033648.0990274092</v>
      </c>
      <c r="J12" s="24">
        <f t="shared" si="0"/>
        <v>0.22522796763114969</v>
      </c>
      <c r="K12" s="22">
        <f t="shared" si="2"/>
        <v>15550020.90097259</v>
      </c>
      <c r="L12" s="40">
        <v>76952218</v>
      </c>
    </row>
    <row r="13" spans="1:12" ht="15.75" customHeight="1" x14ac:dyDescent="0.15">
      <c r="A13" s="3">
        <v>2028</v>
      </c>
      <c r="B13" s="20">
        <v>2630000</v>
      </c>
      <c r="C13" s="21">
        <v>12338218</v>
      </c>
      <c r="D13" s="21">
        <v>4309237</v>
      </c>
      <c r="E13" s="21">
        <v>6776307</v>
      </c>
      <c r="F13" s="21">
        <v>4722286</v>
      </c>
      <c r="G13" s="21">
        <v>3366750</v>
      </c>
      <c r="H13" s="22">
        <f t="shared" si="1"/>
        <v>19174580</v>
      </c>
      <c r="I13" s="23">
        <f>(B13 + 'Baseline year demographics'!$C$20*B13/(1000-'Baseline year demographics'!$C$21))/(1-'Baseline year demographics'!$C$19)</f>
        <v>3092439.7288535219</v>
      </c>
      <c r="J13" s="24">
        <f t="shared" si="0"/>
        <v>0.22473696946686708</v>
      </c>
      <c r="K13" s="22">
        <f t="shared" si="2"/>
        <v>16082140.271146478</v>
      </c>
      <c r="L13" s="40">
        <v>79155997</v>
      </c>
    </row>
    <row r="14" spans="1:12" ht="15.75" customHeight="1" x14ac:dyDescent="0.15">
      <c r="A14" s="3">
        <v>2029</v>
      </c>
      <c r="B14" s="20">
        <v>2690000</v>
      </c>
      <c r="C14" s="21">
        <v>12584924</v>
      </c>
      <c r="D14" s="21">
        <v>4430738</v>
      </c>
      <c r="E14" s="21">
        <v>7008703</v>
      </c>
      <c r="F14" s="21">
        <v>4856898</v>
      </c>
      <c r="G14" s="21">
        <v>3479917</v>
      </c>
      <c r="H14" s="22">
        <f t="shared" si="1"/>
        <v>19776256</v>
      </c>
      <c r="I14" s="23">
        <f>(B14 + 'Baseline year demographics'!$C$20*B14/(1000-'Baseline year demographics'!$C$21))/(1-'Baseline year demographics'!$C$19)</f>
        <v>3162989.684644857</v>
      </c>
      <c r="J14" s="24">
        <f t="shared" si="0"/>
        <v>0.22404331740042199</v>
      </c>
      <c r="K14" s="22">
        <f t="shared" si="2"/>
        <v>16613266.315355143</v>
      </c>
      <c r="L14" s="40">
        <v>81405880</v>
      </c>
    </row>
    <row r="15" spans="1:12" ht="15.75" customHeight="1" x14ac:dyDescent="0.15">
      <c r="A15" s="3">
        <v>2030</v>
      </c>
      <c r="B15" s="20">
        <v>2740000</v>
      </c>
      <c r="C15" s="21">
        <v>12839335</v>
      </c>
      <c r="D15" s="21">
        <v>4546624</v>
      </c>
      <c r="E15" s="21">
        <v>7239465</v>
      </c>
      <c r="F15" s="21">
        <v>5005361</v>
      </c>
      <c r="G15" s="21">
        <v>3595278</v>
      </c>
      <c r="H15" s="22">
        <f t="shared" si="1"/>
        <v>20386728</v>
      </c>
      <c r="I15" s="23">
        <f>(B15 + 'Baseline year demographics'!$C$20*B15/(1000-'Baseline year demographics'!$C$21))/(1-'Baseline year demographics'!$C$19)</f>
        <v>3221781.3144709696</v>
      </c>
      <c r="J15" s="24">
        <f t="shared" si="0"/>
        <v>0.22301881891002814</v>
      </c>
      <c r="K15" s="22">
        <f t="shared" si="2"/>
        <v>17164946.685529031</v>
      </c>
      <c r="L15" s="40">
        <v>83702053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workbookViewId="0"/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4" t="s">
        <v>216</v>
      </c>
      <c r="C5" s="45" t="s">
        <v>102</v>
      </c>
      <c r="D5" s="45">
        <v>0</v>
      </c>
      <c r="E5" s="45">
        <v>0</v>
      </c>
      <c r="F5" s="45">
        <v>0.33500000000000002</v>
      </c>
      <c r="G5" s="46">
        <v>0.33500000000000002</v>
      </c>
      <c r="H5" s="46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5">
        <v>0</v>
      </c>
      <c r="E6" s="45">
        <v>0</v>
      </c>
      <c r="F6" s="45">
        <v>0.33500000000000002</v>
      </c>
      <c r="G6" s="46">
        <v>0.33500000000000002</v>
      </c>
      <c r="H6" s="46">
        <v>0.33500000000000002</v>
      </c>
    </row>
    <row r="7" spans="1:8" x14ac:dyDescent="0.15">
      <c r="C7" s="4" t="s">
        <v>64</v>
      </c>
      <c r="D7" s="45">
        <v>0</v>
      </c>
      <c r="E7" s="45">
        <v>0</v>
      </c>
      <c r="F7" s="45">
        <v>0.62</v>
      </c>
      <c r="G7" s="45">
        <v>0.62</v>
      </c>
      <c r="H7" s="45">
        <v>0.62</v>
      </c>
    </row>
    <row r="8" spans="1:8" x14ac:dyDescent="0.15">
      <c r="B8" t="s">
        <v>147</v>
      </c>
      <c r="C8" s="4" t="s">
        <v>102</v>
      </c>
      <c r="D8" s="45">
        <v>0</v>
      </c>
      <c r="E8" s="45">
        <v>0</v>
      </c>
      <c r="F8" s="45">
        <v>0.33500000000000002</v>
      </c>
      <c r="G8" s="46">
        <v>0.33500000000000002</v>
      </c>
      <c r="H8" s="46">
        <v>0.33500000000000002</v>
      </c>
    </row>
    <row r="9" spans="1:8" x14ac:dyDescent="0.15">
      <c r="C9" s="4" t="s">
        <v>64</v>
      </c>
      <c r="D9" s="45">
        <v>0</v>
      </c>
      <c r="E9" s="45">
        <v>0</v>
      </c>
      <c r="F9" s="45">
        <v>0.62</v>
      </c>
      <c r="G9" s="45">
        <v>0.62</v>
      </c>
      <c r="H9" s="45">
        <v>0.62</v>
      </c>
    </row>
    <row r="10" spans="1:8" x14ac:dyDescent="0.15">
      <c r="A10" s="4" t="s">
        <v>75</v>
      </c>
      <c r="B10" s="4" t="s">
        <v>148</v>
      </c>
      <c r="C10" s="4" t="s">
        <v>102</v>
      </c>
      <c r="D10" s="45">
        <v>0</v>
      </c>
      <c r="E10" s="45">
        <v>0</v>
      </c>
      <c r="F10" s="45">
        <v>0.33500000000000002</v>
      </c>
      <c r="G10" s="46">
        <v>0.33500000000000002</v>
      </c>
      <c r="H10" s="46">
        <v>0.33500000000000002</v>
      </c>
    </row>
    <row r="11" spans="1:8" x14ac:dyDescent="0.15">
      <c r="C11" s="4" t="s">
        <v>64</v>
      </c>
      <c r="D11" s="45">
        <v>0</v>
      </c>
      <c r="E11" s="45">
        <v>0</v>
      </c>
      <c r="F11" s="45">
        <v>0.62</v>
      </c>
      <c r="G11" s="45">
        <v>0.62</v>
      </c>
      <c r="H11" s="45">
        <v>0.62</v>
      </c>
    </row>
    <row r="12" spans="1:8" x14ac:dyDescent="0.15">
      <c r="B12" t="s">
        <v>147</v>
      </c>
      <c r="C12" s="4" t="s">
        <v>102</v>
      </c>
      <c r="D12" s="45">
        <v>0</v>
      </c>
      <c r="E12" s="45">
        <v>0</v>
      </c>
      <c r="F12" s="45">
        <v>0.33500000000000002</v>
      </c>
      <c r="G12" s="46">
        <v>0.33500000000000002</v>
      </c>
      <c r="H12" s="46">
        <v>0.33500000000000002</v>
      </c>
    </row>
    <row r="13" spans="1:8" x14ac:dyDescent="0.15">
      <c r="C13" s="4" t="s">
        <v>64</v>
      </c>
      <c r="D13" s="45">
        <v>0</v>
      </c>
      <c r="E13" s="45">
        <v>0</v>
      </c>
      <c r="F13" s="45">
        <v>0.62</v>
      </c>
      <c r="G13" s="45">
        <v>0.62</v>
      </c>
      <c r="H13" s="45">
        <v>0.62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5">
        <v>0</v>
      </c>
      <c r="E14" s="45">
        <v>0</v>
      </c>
      <c r="F14" s="45">
        <v>0.33500000000000002</v>
      </c>
      <c r="G14" s="46">
        <v>0.33500000000000002</v>
      </c>
      <c r="H14" s="46">
        <v>0.33500000000000002</v>
      </c>
    </row>
    <row r="15" spans="1:8" x14ac:dyDescent="0.15">
      <c r="C15" s="4" t="s">
        <v>64</v>
      </c>
      <c r="D15" s="45">
        <v>0</v>
      </c>
      <c r="E15" s="45">
        <v>0</v>
      </c>
      <c r="F15" s="45">
        <v>0.62</v>
      </c>
      <c r="G15" s="45">
        <v>0.62</v>
      </c>
      <c r="H15" s="45">
        <v>0.62</v>
      </c>
    </row>
    <row r="16" spans="1:8" x14ac:dyDescent="0.15">
      <c r="B16" t="s">
        <v>147</v>
      </c>
      <c r="C16" s="4" t="s">
        <v>102</v>
      </c>
      <c r="D16" s="45">
        <v>0</v>
      </c>
      <c r="E16" s="45">
        <v>0</v>
      </c>
      <c r="F16" s="45">
        <v>0.33500000000000002</v>
      </c>
      <c r="G16" s="46">
        <v>0.33500000000000002</v>
      </c>
      <c r="H16" s="46">
        <v>0.33500000000000002</v>
      </c>
    </row>
    <row r="17" spans="1:9" x14ac:dyDescent="0.15">
      <c r="C17" s="4" t="s">
        <v>64</v>
      </c>
      <c r="D17" s="45">
        <v>0</v>
      </c>
      <c r="E17" s="45">
        <v>0</v>
      </c>
      <c r="F17" s="45">
        <v>0.62</v>
      </c>
      <c r="G17" s="45">
        <v>0.62</v>
      </c>
      <c r="H17" s="45">
        <v>0.62</v>
      </c>
    </row>
    <row r="18" spans="1:9" x14ac:dyDescent="0.15">
      <c r="A18" t="s">
        <v>143</v>
      </c>
      <c r="B18" t="s">
        <v>148</v>
      </c>
      <c r="C18" s="4" t="s">
        <v>102</v>
      </c>
      <c r="D18" s="45">
        <v>0</v>
      </c>
      <c r="E18" s="45">
        <v>0</v>
      </c>
      <c r="F18" s="45">
        <v>0.33500000000000002</v>
      </c>
      <c r="G18" s="46">
        <v>0.33500000000000002</v>
      </c>
      <c r="H18" s="46">
        <v>0.33500000000000002</v>
      </c>
    </row>
    <row r="19" spans="1:9" x14ac:dyDescent="0.15">
      <c r="C19" s="4" t="s">
        <v>64</v>
      </c>
      <c r="D19" s="45">
        <v>0</v>
      </c>
      <c r="E19" s="45">
        <v>0</v>
      </c>
      <c r="F19" s="45">
        <v>0.7</v>
      </c>
      <c r="G19" s="45">
        <v>0.62</v>
      </c>
      <c r="H19" s="45">
        <v>0.62</v>
      </c>
      <c r="I19" s="11"/>
    </row>
    <row r="20" spans="1:9" x14ac:dyDescent="0.15">
      <c r="B20" t="s">
        <v>147</v>
      </c>
      <c r="C20" s="4" t="s">
        <v>102</v>
      </c>
      <c r="D20" s="47">
        <v>0</v>
      </c>
      <c r="E20" s="47">
        <v>0</v>
      </c>
      <c r="F20" s="47">
        <v>0.33500000000000002</v>
      </c>
      <c r="G20" s="48">
        <v>0.33500000000000002</v>
      </c>
      <c r="H20" s="48">
        <v>0.33500000000000002</v>
      </c>
      <c r="I20" s="11"/>
    </row>
    <row r="21" spans="1:9" x14ac:dyDescent="0.15">
      <c r="C21" s="4" t="s">
        <v>64</v>
      </c>
      <c r="D21" s="47">
        <v>0</v>
      </c>
      <c r="E21" s="47">
        <v>0</v>
      </c>
      <c r="F21" s="47">
        <v>0.84</v>
      </c>
      <c r="G21" s="47">
        <v>0.62</v>
      </c>
      <c r="H21" s="47">
        <v>0.62</v>
      </c>
      <c r="I21" s="11"/>
    </row>
    <row r="22" spans="1:9" x14ac:dyDescent="0.15">
      <c r="A22" s="12" t="s">
        <v>144</v>
      </c>
      <c r="B22" t="s">
        <v>43</v>
      </c>
      <c r="C22" s="4" t="s">
        <v>102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63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145</v>
      </c>
      <c r="B24" t="s">
        <v>43</v>
      </c>
      <c r="C24" s="4" t="s">
        <v>102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63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146</v>
      </c>
      <c r="B26" t="s">
        <v>43</v>
      </c>
      <c r="C26" s="4" t="s">
        <v>102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63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257</v>
      </c>
      <c r="B28" s="4" t="s">
        <v>267</v>
      </c>
      <c r="C28" s="4" t="s">
        <v>102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63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64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258</v>
      </c>
      <c r="B31" s="4" t="s">
        <v>267</v>
      </c>
      <c r="C31" s="4" t="s">
        <v>102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63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64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259</v>
      </c>
      <c r="B34" s="4" t="s">
        <v>267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64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260</v>
      </c>
      <c r="B37" s="4" t="s">
        <v>267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64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261</v>
      </c>
      <c r="B40" s="4" t="s">
        <v>267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64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140</v>
      </c>
      <c r="B43" s="4" t="s">
        <v>267</v>
      </c>
      <c r="C43" s="4" t="s">
        <v>102</v>
      </c>
      <c r="D43" s="12">
        <v>1</v>
      </c>
      <c r="E43" s="12">
        <v>1</v>
      </c>
      <c r="F43" s="12">
        <v>1</v>
      </c>
      <c r="G43" s="12">
        <v>1</v>
      </c>
      <c r="H43" s="12">
        <v>1</v>
      </c>
    </row>
    <row r="44" spans="1:8" x14ac:dyDescent="0.15">
      <c r="C44" t="s">
        <v>63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64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A46" t="s">
        <v>140</v>
      </c>
      <c r="B46" s="4" t="s">
        <v>28</v>
      </c>
      <c r="C46" s="4" t="s">
        <v>102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63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64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262</v>
      </c>
      <c r="B49" s="4" t="s">
        <v>267</v>
      </c>
      <c r="C49" s="4" t="s">
        <v>102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63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263</v>
      </c>
      <c r="B51" s="4" t="s">
        <v>267</v>
      </c>
      <c r="C51" s="4" t="s">
        <v>102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63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/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175</v>
      </c>
      <c r="B1" s="10" t="s">
        <v>176</v>
      </c>
      <c r="C1" s="10" t="s">
        <v>11</v>
      </c>
      <c r="D1" s="10" t="s">
        <v>184</v>
      </c>
      <c r="E1" s="10" t="s">
        <v>186</v>
      </c>
    </row>
    <row r="2" spans="1:5" ht="14" x14ac:dyDescent="0.15">
      <c r="A2" s="59" t="s">
        <v>166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167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168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171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172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169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170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173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174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/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115</v>
      </c>
      <c r="E1" s="10" t="s">
        <v>116</v>
      </c>
      <c r="F1" s="10" t="s">
        <v>117</v>
      </c>
      <c r="G1" s="10" t="s">
        <v>118</v>
      </c>
      <c r="H1" s="51"/>
    </row>
    <row r="2" spans="1:8" x14ac:dyDescent="0.15">
      <c r="A2" s="4" t="s">
        <v>264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02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265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63</v>
      </c>
      <c r="D5" s="12">
        <v>0.59</v>
      </c>
      <c r="E5" s="12">
        <v>0.59</v>
      </c>
      <c r="F5" s="12">
        <v>0.59</v>
      </c>
      <c r="G5" s="12">
        <v>0.59</v>
      </c>
      <c r="H5" s="102"/>
    </row>
    <row r="6" spans="1:8" x14ac:dyDescent="0.15">
      <c r="A6" s="4" t="s">
        <v>266</v>
      </c>
      <c r="B6" t="s">
        <v>88</v>
      </c>
      <c r="C6" s="4" t="s">
        <v>102</v>
      </c>
      <c r="D6" s="12">
        <v>1</v>
      </c>
      <c r="E6" s="12">
        <v>1</v>
      </c>
      <c r="F6" s="12">
        <v>1</v>
      </c>
      <c r="G6" s="12">
        <v>1</v>
      </c>
      <c r="H6" s="102"/>
    </row>
    <row r="7" spans="1:8" x14ac:dyDescent="0.15">
      <c r="A7" s="11"/>
      <c r="C7" t="s">
        <v>63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/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203</v>
      </c>
      <c r="B1" s="103" t="s">
        <v>48</v>
      </c>
      <c r="C1" s="104" t="s">
        <v>234</v>
      </c>
      <c r="D1" s="104" t="s">
        <v>235</v>
      </c>
      <c r="E1" s="104" t="s">
        <v>236</v>
      </c>
      <c r="F1" s="1"/>
    </row>
    <row r="2" spans="1:6" x14ac:dyDescent="0.15">
      <c r="A2" t="s">
        <v>268</v>
      </c>
      <c r="B2" s="73" t="s">
        <v>51</v>
      </c>
      <c r="C2" s="105">
        <f>'Distribution births'!C2</f>
        <v>5.6000000000000001E-2</v>
      </c>
      <c r="D2" s="105">
        <f>'Distribution births'!C3</f>
        <v>5.0000000000000001E-3</v>
      </c>
      <c r="E2" s="105">
        <f>'Distribution births'!C4</f>
        <v>0</v>
      </c>
      <c r="F2" s="9"/>
    </row>
    <row r="3" spans="1:6" x14ac:dyDescent="0.15">
      <c r="B3" s="73" t="s">
        <v>49</v>
      </c>
      <c r="C3" s="105">
        <v>0.8</v>
      </c>
      <c r="D3" s="105">
        <v>0.8</v>
      </c>
      <c r="E3" s="105">
        <v>0.8</v>
      </c>
      <c r="F3" s="9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topLeftCell="A4" workbookViewId="0">
      <selection activeCell="N22" sqref="N2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15">
      <c r="A2" s="10" t="s">
        <v>72</v>
      </c>
      <c r="B2" s="53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3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6">
        <f>'Baseline year demographics'!C8</f>
        <v>0.28199999999999997</v>
      </c>
      <c r="F6" s="26">
        <f>'Baseline year demographics'!C8</f>
        <v>0.28199999999999997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6">
        <f>'Baseline year demographics'!C8*(1-'Baseline year demographics'!C9)</f>
        <v>0</v>
      </c>
      <c r="F7" s="26">
        <f>'Baseline year demographics'!C8*(1-'Baseline year demographics'!C9)</f>
        <v>0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6">
        <f>'Baseline year demographics'!C8*'Baseline year demographics'!C9</f>
        <v>0.28199999999999997</v>
      </c>
      <c r="F8" s="26">
        <f>'Baseline year demographics'!C8*'Baseline year demographics'!C9</f>
        <v>0.28199999999999997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6">
        <f>(1-'Baseline year demographics'!$C9)</f>
        <v>0</v>
      </c>
      <c r="F9" s="26">
        <f>(1-'Baseline year demographics'!$C9)</f>
        <v>0</v>
      </c>
      <c r="G9" s="2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6">
        <f>'Baseline year demographics'!$C9</f>
        <v>1</v>
      </c>
      <c r="F10" s="26">
        <f>'Baseline year demographics'!$C9</f>
        <v>1</v>
      </c>
      <c r="G10" s="2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106">
        <v>0</v>
      </c>
      <c r="D11" s="139">
        <f>'Baseline year demographics'!$C8</f>
        <v>0.28199999999999997</v>
      </c>
      <c r="E11" s="139">
        <f>'Baseline year demographics'!$C8</f>
        <v>0.28199999999999997</v>
      </c>
      <c r="F11" s="139">
        <f>'Baseline year demographics'!$C8</f>
        <v>0.28199999999999997</v>
      </c>
      <c r="G11" s="139">
        <f>'Baseline year demographics'!$C8</f>
        <v>0.28199999999999997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106">
        <v>0</v>
      </c>
      <c r="D12" s="106">
        <v>1</v>
      </c>
      <c r="E12" s="106">
        <v>1</v>
      </c>
      <c r="F12" s="106">
        <v>1</v>
      </c>
      <c r="G12" s="106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106">
        <v>0</v>
      </c>
      <c r="D13" s="106">
        <v>1</v>
      </c>
      <c r="E13" s="106">
        <v>1</v>
      </c>
      <c r="F13" s="106">
        <v>1</v>
      </c>
      <c r="G13" s="106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0.28199999999999997</v>
      </c>
      <c r="I15" s="26">
        <f>'Baseline year demographics'!$C$8</f>
        <v>0.28199999999999997</v>
      </c>
      <c r="J15" s="26">
        <f>'Baseline year demographics'!$C$8</f>
        <v>0.28199999999999997</v>
      </c>
      <c r="K15" s="26">
        <f>'Baseline year demographics'!$C$8</f>
        <v>0.28199999999999997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1</v>
      </c>
      <c r="I17" s="26">
        <f>'Baseline year demographics'!$C9</f>
        <v>1</v>
      </c>
      <c r="J17" s="26">
        <f>'Baseline year demographics'!$C9</f>
        <v>1</v>
      </c>
      <c r="K17" s="2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</v>
      </c>
      <c r="I18" s="31">
        <f xml:space="preserve"> 1-'Baseline year demographics'!$C9</f>
        <v>0</v>
      </c>
      <c r="J18" s="31">
        <f xml:space="preserve"> 1-'Baseline year demographics'!$C9</f>
        <v>0</v>
      </c>
      <c r="K18" s="31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1</v>
      </c>
      <c r="I19" s="31">
        <f>'Baseline year demographics'!$C9</f>
        <v>1</v>
      </c>
      <c r="J19" s="31">
        <f>'Baseline year demographics'!$C9</f>
        <v>1</v>
      </c>
      <c r="K19" s="31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1</v>
      </c>
      <c r="I20" s="31">
        <f>'Baseline year demographics'!$C9</f>
        <v>1</v>
      </c>
      <c r="J20" s="31">
        <f>'Baseline year demographics'!$C9</f>
        <v>1</v>
      </c>
      <c r="K20" s="31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3">
        <v>0</v>
      </c>
      <c r="J22" s="43">
        <v>0</v>
      </c>
      <c r="K22" s="43">
        <v>0</v>
      </c>
      <c r="L22" s="26">
        <f>'Baseline year demographics'!$C$8*(1-'Baseline year demographics'!$C$9)*1*'Baseline year demographics'!$C$7</f>
        <v>0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3">
        <v>0</v>
      </c>
      <c r="J23" s="43">
        <v>0</v>
      </c>
      <c r="K23" s="43">
        <v>0</v>
      </c>
      <c r="L23" s="26">
        <f>'Baseline year demographics'!$C$8*(1-'Baseline year demographics'!$C$9)*(0.7)*'Baseline year demographics'!$C$7</f>
        <v>0</v>
      </c>
      <c r="M23" s="26">
        <f>'Baseline year demographics'!$C$8*(1-'Baseline year demographics'!$C$9)*(0.7)</f>
        <v>0</v>
      </c>
      <c r="N23" s="26">
        <f>'Baseline year demographics'!$C$8*(1-'Baseline year demographics'!$C$9)*(0.7)</f>
        <v>0</v>
      </c>
      <c r="O23" s="26">
        <f>'Baseline year demographics'!$C$8*(1-'Baseline year demographics'!$C$9)*(0.7)</f>
        <v>0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3">
        <v>0</v>
      </c>
      <c r="J24" s="43">
        <v>0</v>
      </c>
      <c r="K24" s="43">
        <v>0</v>
      </c>
      <c r="L24" s="26">
        <f>'Baseline year demographics'!$C$8*(1-'Baseline year demographics'!$C$9)*(0.3)*'Baseline year demographics'!$C$7</f>
        <v>0</v>
      </c>
      <c r="M24" s="26">
        <f>'Baseline year demographics'!$C$8*(1-'Baseline year demographics'!$C$9)*(0.3)</f>
        <v>0</v>
      </c>
      <c r="N24" s="26">
        <f>'Baseline year demographics'!$C$8*(1-'Baseline year demographics'!$C$9)*(0.3)</f>
        <v>0</v>
      </c>
      <c r="O24" s="26">
        <f>'Baseline year demographics'!$C$8*(1-'Baseline year demographics'!$C$9)*(0.3)</f>
        <v>0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3">
        <v>0</v>
      </c>
      <c r="J25" s="43">
        <v>0</v>
      </c>
      <c r="K25" s="43">
        <v>0</v>
      </c>
      <c r="L25" s="26">
        <f>(1-'Baseline year demographics'!$C$8)*(1-'Baseline year demographics'!$C$9)*1*'Baseline year demographics'!$C$7</f>
        <v>0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3">
        <v>0</v>
      </c>
      <c r="J26" s="43">
        <v>0</v>
      </c>
      <c r="K26" s="43">
        <v>0</v>
      </c>
      <c r="L26" s="26">
        <f>(1-'Baseline year demographics'!$C$8)*(1-'Baseline year demographics'!$C$9)*(0.49)*'Baseline year demographics'!$C$7</f>
        <v>0</v>
      </c>
      <c r="M26" s="26">
        <f>(1-'Baseline year demographics'!$C$8)*(1-'Baseline year demographics'!$C$9)*(0.49)</f>
        <v>0</v>
      </c>
      <c r="N26" s="26">
        <f>(1-'Baseline year demographics'!$C$8)*(1-'Baseline year demographics'!$C$9)*(0.49)</f>
        <v>0</v>
      </c>
      <c r="O26" s="26">
        <f>(1-'Baseline year demographics'!$C$8)*(1-'Baseline year demographics'!$C$9)*(0.49)</f>
        <v>0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3">
        <v>0</v>
      </c>
      <c r="J27" s="43">
        <v>0</v>
      </c>
      <c r="K27" s="43">
        <v>0</v>
      </c>
      <c r="L27" s="26">
        <f>(1-'Baseline year demographics'!$C$8)*(1-'Baseline year demographics'!$C$9)*(0.21)*'Baseline year demographics'!$C$7</f>
        <v>0</v>
      </c>
      <c r="M27" s="26">
        <f>(1-'Baseline year demographics'!$C$8)*(1-'Baseline year demographics'!$C$9)*(0.21)</f>
        <v>0</v>
      </c>
      <c r="N27" s="26">
        <f>(1-'Baseline year demographics'!$C$8)*(1-'Baseline year demographics'!$C$9)*(0.21)</f>
        <v>0</v>
      </c>
      <c r="O27" s="26">
        <f>(1-'Baseline year demographics'!$C$8)*(1-'Baseline year demographics'!$C$9)*(0.21)</f>
        <v>0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3">
        <v>0</v>
      </c>
      <c r="J28" s="43">
        <v>0</v>
      </c>
      <c r="K28" s="43">
        <v>0</v>
      </c>
      <c r="L28" s="26">
        <f>(1-'Baseline year demographics'!$C$8)*(1-'Baseline year demographics'!$C$9)*(0.3)*'Baseline year demographics'!$C$7</f>
        <v>0</v>
      </c>
      <c r="M28" s="26">
        <f>(1-'Baseline year demographics'!$C$8)*(1-'Baseline year demographics'!$C$9)*(0.3)</f>
        <v>0</v>
      </c>
      <c r="N28" s="26">
        <f>(1-'Baseline year demographics'!$C$8)*(1-'Baseline year demographics'!$C$9)*(0.3)</f>
        <v>0</v>
      </c>
      <c r="O28" s="2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3">
        <v>0</v>
      </c>
      <c r="J29" s="43">
        <v>0</v>
      </c>
      <c r="K29" s="43">
        <v>0</v>
      </c>
      <c r="L29" s="26">
        <f>'Baseline year demographics'!$C$8*('Baseline year demographics'!$C$9)*1*'Baseline year demographics'!$C$7</f>
        <v>6.4860000000000001E-2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3">
        <v>0</v>
      </c>
      <c r="J30" s="43">
        <v>0</v>
      </c>
      <c r="K30" s="43">
        <v>0</v>
      </c>
      <c r="L30" s="26">
        <f>'Baseline year demographics'!$C$8*('Baseline year demographics'!$C$9)*(0.7)*'Baseline year demographics'!$C$7</f>
        <v>4.5401999999999991E-2</v>
      </c>
      <c r="M30" s="26">
        <f>'Baseline year demographics'!$C$8*('Baseline year demographics'!$C$9)*(0.7)</f>
        <v>0.19739999999999996</v>
      </c>
      <c r="N30" s="26">
        <f>'Baseline year demographics'!$C$8*('Baseline year demographics'!$C$9)*(0.7)</f>
        <v>0.19739999999999996</v>
      </c>
      <c r="O30" s="26">
        <f>'Baseline year demographics'!$C$8*('Baseline year demographics'!$C$9)*(0.7)</f>
        <v>0.19739999999999996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3">
        <v>0</v>
      </c>
      <c r="J31" s="43">
        <v>0</v>
      </c>
      <c r="K31" s="43">
        <v>0</v>
      </c>
      <c r="L31" s="26">
        <f>'Baseline year demographics'!$C$8*('Baseline year demographics'!$C$9)*(0.3)*'Baseline year demographics'!$C$7</f>
        <v>1.9458E-2</v>
      </c>
      <c r="M31" s="26">
        <f>'Baseline year demographics'!$C$8*(1-'Baseline year demographics'!$C$9)*(0.3)</f>
        <v>0</v>
      </c>
      <c r="N31" s="26">
        <f>'Baseline year demographics'!$C$8*(1-'Baseline year demographics'!$C$9)*(0.3)</f>
        <v>0</v>
      </c>
      <c r="O31" s="26">
        <f>'Baseline year demographics'!$C$8*(1-'Baseline year demographics'!$C$9)*(0.3)</f>
        <v>0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3">
        <v>0</v>
      </c>
      <c r="J32" s="43">
        <v>0</v>
      </c>
      <c r="K32" s="43">
        <v>0</v>
      </c>
      <c r="L32" s="26">
        <f>(1-'Baseline year demographics'!$C$8)*('Baseline year demographics'!$C$9)*1*'Baseline year demographics'!$C$7</f>
        <v>0.16514000000000001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3">
        <v>0</v>
      </c>
      <c r="J33" s="43">
        <v>0</v>
      </c>
      <c r="K33" s="43">
        <v>0</v>
      </c>
      <c r="L33" s="26">
        <f>(1-'Baseline year demographics'!$C$8)*('Baseline year demographics'!$C$9)*(0.49)*'Baseline year demographics'!$C$7</f>
        <v>8.0918599999999993E-2</v>
      </c>
      <c r="M33" s="26">
        <f>(1-'Baseline year demographics'!$C$8)*('Baseline year demographics'!$C$9)*(0.49)</f>
        <v>0.35181999999999997</v>
      </c>
      <c r="N33" s="26">
        <f>(1-'Baseline year demographics'!$C$8)*('Baseline year demographics'!$C$9)*(0.49)</f>
        <v>0.35181999999999997</v>
      </c>
      <c r="O33" s="26">
        <f>(1-'Baseline year demographics'!$C$8)*('Baseline year demographics'!$C$9)*(0.49)</f>
        <v>0.35181999999999997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3">
        <v>0</v>
      </c>
      <c r="J34" s="43">
        <v>0</v>
      </c>
      <c r="K34" s="43">
        <v>0</v>
      </c>
      <c r="L34" s="26">
        <f>(1-'Baseline year demographics'!$C$8)*('Baseline year demographics'!$C$9)*(0.21)*'Baseline year demographics'!$C$7</f>
        <v>3.4679399999999999E-2</v>
      </c>
      <c r="M34" s="26">
        <f>(1-'Baseline year demographics'!$C$8)*('Baseline year demographics'!$C$9)*(0.21)</f>
        <v>0.15078</v>
      </c>
      <c r="N34" s="26">
        <f>(1-'Baseline year demographics'!$C$8)*('Baseline year demographics'!$C$9)*(0.21)</f>
        <v>0.15078</v>
      </c>
      <c r="O34" s="26">
        <f>(1-'Baseline year demographics'!$C$8)*('Baseline year demographics'!$C$9)*(0.21)</f>
        <v>0.15078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3">
        <v>0</v>
      </c>
      <c r="J35" s="43">
        <v>0</v>
      </c>
      <c r="K35" s="43">
        <v>0</v>
      </c>
      <c r="L35" s="26">
        <f>(1-'Baseline year demographics'!$C$8)*('Baseline year demographics'!$C$9)*(0.3)*'Baseline year demographics'!$C$7</f>
        <v>4.9541999999999996E-2</v>
      </c>
      <c r="M35" s="26">
        <f>(1-'Baseline year demographics'!$C$8)*('Baseline year demographics'!$C$9)*(0.3)</f>
        <v>0.21539999999999998</v>
      </c>
      <c r="N35" s="26">
        <f>(1-'Baseline year demographics'!$C$8)*('Baseline year demographics'!$C$9)*(0.3)</f>
        <v>0.21539999999999998</v>
      </c>
      <c r="O35" s="26">
        <f>(1-'Baseline year demographics'!$C$8)*('Baseline year demographics'!$C$9)*(0.3)</f>
        <v>0.21539999999999998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3">
        <v>0</v>
      </c>
      <c r="J36" s="43">
        <v>0</v>
      </c>
      <c r="K36" s="43">
        <v>0</v>
      </c>
      <c r="L36" s="109">
        <v>1</v>
      </c>
      <c r="M36" s="109">
        <v>1</v>
      </c>
      <c r="N36" s="109">
        <v>1</v>
      </c>
      <c r="O36" s="109">
        <v>1</v>
      </c>
    </row>
    <row r="37" spans="1:15" ht="15.75" customHeight="1" x14ac:dyDescent="0.15">
      <c r="B37" s="44" t="s">
        <v>268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3">
        <v>0</v>
      </c>
      <c r="J37" s="43">
        <v>0</v>
      </c>
      <c r="K37" s="43">
        <v>0</v>
      </c>
      <c r="L37" s="26">
        <f>'Baseline year demographics'!$C$29/SUM('Baseline year demographics'!$C$29:$C$32)</f>
        <v>0.8</v>
      </c>
      <c r="M37" s="26">
        <f>'Baseline year demographics'!$C$29/SUM('Baseline year demographics'!$C$29:$C$32)</f>
        <v>0.8</v>
      </c>
      <c r="N37" s="26">
        <f>'Baseline year demographics'!$C$29/SUM('Baseline year demographics'!$C$29:$C$32)</f>
        <v>0.8</v>
      </c>
      <c r="O37" s="26">
        <f>'Baseline year demographics'!$C$29/SUM('Baseline year demographics'!$C$29:$C$32)</f>
        <v>0.8</v>
      </c>
    </row>
    <row r="38" spans="1:15" ht="15.75" customHeight="1" x14ac:dyDescent="0.15">
      <c r="B38" s="12"/>
      <c r="C38" s="3"/>
      <c r="D38" s="3"/>
      <c r="E38" s="101"/>
      <c r="F38" s="101"/>
      <c r="G38" s="101"/>
      <c r="H38" s="101"/>
      <c r="I38" s="101"/>
    </row>
    <row r="39" spans="1:15" ht="15.75" customHeight="1" x14ac:dyDescent="0.15">
      <c r="A39" s="10" t="s">
        <v>79</v>
      </c>
      <c r="B39" t="s">
        <v>257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258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259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260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266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78</v>
      </c>
      <c r="C49" s="31">
        <f>'Baseline year demographics'!$C9</f>
        <v>1</v>
      </c>
      <c r="D49" s="31">
        <f>'Baseline year demographics'!$C9</f>
        <v>1</v>
      </c>
      <c r="E49" s="31">
        <f>'Baseline year demographics'!$C9</f>
        <v>1</v>
      </c>
      <c r="F49" s="31">
        <f>'Baseline year demographics'!$C9</f>
        <v>1</v>
      </c>
      <c r="G49" s="31">
        <f>'Baseline year demographics'!$C9</f>
        <v>1</v>
      </c>
      <c r="H49" s="31">
        <f>'Baseline year demographics'!$C9</f>
        <v>1</v>
      </c>
      <c r="I49" s="31">
        <f>'Baseline year demographics'!$C9</f>
        <v>1</v>
      </c>
      <c r="J49" s="31">
        <f>'Baseline year demographics'!$C9</f>
        <v>1</v>
      </c>
      <c r="K49" s="31">
        <f>'Baseline year demographics'!$C9</f>
        <v>1</v>
      </c>
      <c r="L49" s="31">
        <f>'Baseline year demographics'!$C9</f>
        <v>1</v>
      </c>
      <c r="M49" s="31">
        <f>'Baseline year demographics'!$C9</f>
        <v>1</v>
      </c>
      <c r="N49" s="31">
        <f>'Baseline year demographics'!$C9</f>
        <v>1</v>
      </c>
      <c r="O49" s="31">
        <f>'Baseline year demographics'!$C9</f>
        <v>1</v>
      </c>
    </row>
    <row r="50" spans="1:15" s="11" customFormat="1" ht="15.75" customHeight="1" x14ac:dyDescent="0.15">
      <c r="B50" s="12" t="s">
        <v>144</v>
      </c>
      <c r="C50" s="106">
        <v>0</v>
      </c>
      <c r="D50" s="106">
        <v>0</v>
      </c>
      <c r="E50" s="107">
        <f>'Baseline year demographics'!$C28</f>
        <v>0</v>
      </c>
      <c r="F50" s="107">
        <f>'Baseline year demographics'!$C28</f>
        <v>0</v>
      </c>
      <c r="G50" s="107">
        <f>'Baseline year demographics'!$C28</f>
        <v>0</v>
      </c>
      <c r="H50" s="107">
        <f>'Baseline year demographics'!$C28</f>
        <v>0</v>
      </c>
      <c r="I50" s="107">
        <f>'Baseline year demographics'!$C28</f>
        <v>0</v>
      </c>
      <c r="J50" s="107">
        <f>'Baseline year demographics'!$C28</f>
        <v>0</v>
      </c>
      <c r="K50" s="107">
        <f>'Baseline year demographics'!$C28</f>
        <v>0</v>
      </c>
      <c r="L50" s="107">
        <f>'Baseline year demographics'!$C28</f>
        <v>0</v>
      </c>
      <c r="M50" s="107">
        <f>'Baseline year demographics'!$C28</f>
        <v>0</v>
      </c>
      <c r="N50" s="107">
        <f>'Baseline year demographics'!$C28</f>
        <v>0</v>
      </c>
      <c r="O50" s="107">
        <f>'Baseline year demographics'!$C28</f>
        <v>0</v>
      </c>
    </row>
    <row r="51" spans="1:15" s="11" customFormat="1" ht="15.75" customHeight="1" x14ac:dyDescent="0.15">
      <c r="B51" s="12" t="s">
        <v>145</v>
      </c>
      <c r="C51" s="106">
        <v>0</v>
      </c>
      <c r="D51" s="106">
        <v>0</v>
      </c>
      <c r="E51" s="106">
        <f>'Baseline year demographics'!$C29</f>
        <v>0.8</v>
      </c>
      <c r="F51" s="106">
        <f>'Baseline year demographics'!$C29</f>
        <v>0.8</v>
      </c>
      <c r="G51" s="106">
        <f>'Baseline year demographics'!$C29</f>
        <v>0.8</v>
      </c>
      <c r="H51" s="106">
        <f>'Baseline year demographics'!$C29</f>
        <v>0.8</v>
      </c>
      <c r="I51" s="106">
        <f>'Baseline year demographics'!$C29</f>
        <v>0.8</v>
      </c>
      <c r="J51" s="106">
        <f>'Baseline year demographics'!$C29</f>
        <v>0.8</v>
      </c>
      <c r="K51" s="106">
        <f>'Baseline year demographics'!$C29</f>
        <v>0.8</v>
      </c>
      <c r="L51" s="106">
        <f>'Baseline year demographics'!$C29</f>
        <v>0.8</v>
      </c>
      <c r="M51" s="106">
        <f>'Baseline year demographics'!$C29</f>
        <v>0.8</v>
      </c>
      <c r="N51" s="106">
        <f>'Baseline year demographics'!$C29</f>
        <v>0.8</v>
      </c>
      <c r="O51" s="106">
        <f>'Baseline year demographics'!$C29</f>
        <v>0.8</v>
      </c>
    </row>
    <row r="52" spans="1:15" s="11" customFormat="1" ht="15.75" customHeight="1" x14ac:dyDescent="0.15">
      <c r="B52" s="12" t="s">
        <v>146</v>
      </c>
      <c r="C52" s="106">
        <v>0</v>
      </c>
      <c r="D52" s="106">
        <v>0</v>
      </c>
      <c r="E52" s="106">
        <f>'Baseline year demographics'!$C27</f>
        <v>0</v>
      </c>
      <c r="F52" s="106">
        <f>'Baseline year demographics'!$C27</f>
        <v>0</v>
      </c>
      <c r="G52" s="106">
        <f>'Baseline year demographics'!$C27</f>
        <v>0</v>
      </c>
      <c r="H52" s="106">
        <f>'Baseline year demographics'!$C27</f>
        <v>0</v>
      </c>
      <c r="I52" s="106">
        <f>'Baseline year demographics'!$C27</f>
        <v>0</v>
      </c>
      <c r="J52" s="106">
        <f>'Baseline year demographics'!$C27</f>
        <v>0</v>
      </c>
      <c r="K52" s="106">
        <f>'Baseline year demographics'!$C27</f>
        <v>0</v>
      </c>
      <c r="L52" s="106">
        <f>'Baseline year demographics'!$C27</f>
        <v>0</v>
      </c>
      <c r="M52" s="106">
        <f>'Baseline year demographics'!$C27</f>
        <v>0</v>
      </c>
      <c r="N52" s="106">
        <f>'Baseline year demographics'!$C27</f>
        <v>0</v>
      </c>
      <c r="O52" s="106">
        <f>'Baseline year demographics'!$C27</f>
        <v>0</v>
      </c>
    </row>
    <row r="53" spans="1:15" ht="15.75" customHeight="1" x14ac:dyDescent="0.15">
      <c r="B53" s="4" t="s">
        <v>97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/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72</v>
      </c>
      <c r="B2" s="53" t="s">
        <v>53</v>
      </c>
      <c r="C2" s="43">
        <v>1</v>
      </c>
      <c r="D2" s="43">
        <v>1</v>
      </c>
      <c r="E2" s="43">
        <v>0</v>
      </c>
      <c r="F2" s="43">
        <v>0</v>
      </c>
      <c r="G2" s="43">
        <v>0</v>
      </c>
      <c r="H2" s="43">
        <v>1</v>
      </c>
      <c r="I2" s="43">
        <v>1</v>
      </c>
      <c r="J2" s="43">
        <v>1</v>
      </c>
      <c r="K2" s="43">
        <v>1</v>
      </c>
      <c r="L2" s="43">
        <v>0</v>
      </c>
      <c r="M2" s="43">
        <v>0</v>
      </c>
      <c r="N2" s="43">
        <v>0</v>
      </c>
      <c r="O2" s="43">
        <v>0</v>
      </c>
    </row>
    <row r="3" spans="1:15" x14ac:dyDescent="0.15">
      <c r="A3" s="10"/>
      <c r="B3" s="4" t="s">
        <v>140</v>
      </c>
      <c r="C3" s="43">
        <v>0</v>
      </c>
      <c r="D3" s="43">
        <v>0</v>
      </c>
      <c r="E3" s="43">
        <v>1</v>
      </c>
      <c r="F3" s="43">
        <v>1</v>
      </c>
      <c r="G3" s="43">
        <v>1</v>
      </c>
      <c r="H3" s="43">
        <v>0</v>
      </c>
      <c r="I3" s="43">
        <v>0</v>
      </c>
      <c r="J3" s="43">
        <v>0</v>
      </c>
      <c r="K3" s="43">
        <v>0</v>
      </c>
      <c r="L3" s="43">
        <v>0</v>
      </c>
      <c r="M3" s="43">
        <v>0</v>
      </c>
      <c r="N3" s="43">
        <v>0</v>
      </c>
      <c r="O3" s="43">
        <v>0</v>
      </c>
    </row>
    <row r="4" spans="1:15" x14ac:dyDescent="0.15">
      <c r="B4" s="4" t="s">
        <v>47</v>
      </c>
      <c r="C4" s="43">
        <v>0</v>
      </c>
      <c r="D4" s="43">
        <v>0</v>
      </c>
      <c r="E4" s="43">
        <v>1</v>
      </c>
      <c r="F4" s="43">
        <v>1</v>
      </c>
      <c r="G4" s="43">
        <v>1</v>
      </c>
      <c r="H4" s="43">
        <v>0</v>
      </c>
      <c r="I4" s="43">
        <v>0</v>
      </c>
      <c r="J4" s="43">
        <v>0</v>
      </c>
      <c r="K4" s="43">
        <v>0</v>
      </c>
      <c r="L4" s="43">
        <v>0</v>
      </c>
      <c r="M4" s="43">
        <v>0</v>
      </c>
      <c r="N4" s="43">
        <v>0</v>
      </c>
      <c r="O4" s="43">
        <v>0</v>
      </c>
    </row>
    <row r="5" spans="1:15" x14ac:dyDescent="0.15">
      <c r="B5" s="53" t="s">
        <v>54</v>
      </c>
      <c r="C5" s="43">
        <v>0</v>
      </c>
      <c r="D5" s="43">
        <v>0</v>
      </c>
      <c r="E5" s="43">
        <v>1</v>
      </c>
      <c r="F5" s="43">
        <v>1</v>
      </c>
      <c r="G5" s="43">
        <v>0</v>
      </c>
      <c r="H5" s="43">
        <v>0</v>
      </c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</row>
    <row r="6" spans="1:15" x14ac:dyDescent="0.15">
      <c r="B6" s="4" t="s">
        <v>127</v>
      </c>
      <c r="C6" s="43">
        <v>0</v>
      </c>
      <c r="D6" s="43">
        <v>0</v>
      </c>
      <c r="E6" s="43">
        <v>1</v>
      </c>
      <c r="F6" s="43">
        <v>1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</row>
    <row r="7" spans="1:15" x14ac:dyDescent="0.15">
      <c r="B7" s="4" t="s">
        <v>75</v>
      </c>
      <c r="C7" s="43">
        <v>0</v>
      </c>
      <c r="D7" s="43">
        <v>0</v>
      </c>
      <c r="E7" s="43">
        <v>1</v>
      </c>
      <c r="F7" s="43">
        <v>1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</row>
    <row r="8" spans="1:15" x14ac:dyDescent="0.15">
      <c r="B8" s="4" t="s">
        <v>136</v>
      </c>
      <c r="C8" s="43">
        <v>0</v>
      </c>
      <c r="D8" s="43">
        <v>0</v>
      </c>
      <c r="E8" s="43">
        <v>1</v>
      </c>
      <c r="F8" s="43">
        <v>1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</row>
    <row r="9" spans="1:15" x14ac:dyDescent="0.15">
      <c r="B9" s="4" t="s">
        <v>74</v>
      </c>
      <c r="C9" s="43">
        <v>0</v>
      </c>
      <c r="D9" s="43">
        <v>0</v>
      </c>
      <c r="E9" s="43">
        <v>1</v>
      </c>
      <c r="F9" s="43">
        <v>1</v>
      </c>
      <c r="G9" s="43">
        <v>1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</row>
    <row r="10" spans="1:15" x14ac:dyDescent="0.15">
      <c r="B10" s="4" t="s">
        <v>137</v>
      </c>
      <c r="C10" s="43">
        <v>0</v>
      </c>
      <c r="D10" s="43">
        <v>0</v>
      </c>
      <c r="E10" s="43">
        <v>1</v>
      </c>
      <c r="F10" s="43">
        <v>1</v>
      </c>
      <c r="G10" s="43">
        <v>1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</row>
    <row r="11" spans="1:15" x14ac:dyDescent="0.15">
      <c r="B11" s="4" t="s">
        <v>143</v>
      </c>
      <c r="C11" s="108">
        <v>0</v>
      </c>
      <c r="D11" s="108">
        <v>1</v>
      </c>
      <c r="E11" s="43">
        <v>1</v>
      </c>
      <c r="F11" s="43">
        <v>1</v>
      </c>
      <c r="G11" s="108">
        <v>1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</row>
    <row r="12" spans="1:15" x14ac:dyDescent="0.15">
      <c r="B12" s="4" t="s">
        <v>151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</row>
    <row r="13" spans="1:15" x14ac:dyDescent="0.15">
      <c r="B13" s="4" t="s">
        <v>152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</row>
    <row r="14" spans="1:15" x14ac:dyDescent="0.15"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</row>
    <row r="15" spans="1:15" x14ac:dyDescent="0.15">
      <c r="A15" s="10" t="s">
        <v>73</v>
      </c>
      <c r="B15" t="s">
        <v>55</v>
      </c>
      <c r="C15" s="43">
        <v>0</v>
      </c>
      <c r="D15" s="43">
        <v>0</v>
      </c>
      <c r="E15" s="43">
        <v>0</v>
      </c>
      <c r="F15" s="43">
        <v>0</v>
      </c>
      <c r="G15" s="43">
        <v>0</v>
      </c>
      <c r="H15" s="43">
        <v>1</v>
      </c>
      <c r="I15" s="43">
        <v>1</v>
      </c>
      <c r="J15" s="43">
        <v>1</v>
      </c>
      <c r="K15" s="43">
        <v>1</v>
      </c>
      <c r="L15" s="43">
        <v>0</v>
      </c>
      <c r="M15" s="43">
        <v>0</v>
      </c>
      <c r="N15" s="43">
        <v>0</v>
      </c>
      <c r="O15" s="43">
        <v>0</v>
      </c>
    </row>
    <row r="16" spans="1:15" x14ac:dyDescent="0.15">
      <c r="A16" s="10"/>
      <c r="B16" t="s">
        <v>135</v>
      </c>
      <c r="C16" s="43">
        <v>0</v>
      </c>
      <c r="D16" s="43">
        <v>0</v>
      </c>
      <c r="E16" s="43">
        <v>0</v>
      </c>
      <c r="F16" s="43">
        <v>0</v>
      </c>
      <c r="G16" s="43">
        <v>0</v>
      </c>
      <c r="H16" s="43">
        <v>1</v>
      </c>
      <c r="I16" s="43">
        <v>1</v>
      </c>
      <c r="J16" s="43">
        <v>1</v>
      </c>
      <c r="K16" s="43">
        <v>1</v>
      </c>
      <c r="L16" s="43">
        <v>0</v>
      </c>
      <c r="M16" s="43">
        <v>0</v>
      </c>
      <c r="N16" s="43">
        <v>0</v>
      </c>
      <c r="O16" s="43">
        <v>0</v>
      </c>
    </row>
    <row r="17" spans="1:15" x14ac:dyDescent="0.15">
      <c r="B17" t="s">
        <v>138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1</v>
      </c>
      <c r="I17" s="43">
        <v>1</v>
      </c>
      <c r="J17" s="43">
        <v>1</v>
      </c>
      <c r="K17" s="43">
        <v>1</v>
      </c>
      <c r="L17" s="43">
        <v>0</v>
      </c>
      <c r="M17" s="43">
        <v>0</v>
      </c>
      <c r="N17" s="43">
        <v>0</v>
      </c>
      <c r="O17" s="43">
        <v>0</v>
      </c>
    </row>
    <row r="18" spans="1:15" x14ac:dyDescent="0.15">
      <c r="B18" s="4" t="s">
        <v>77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1</v>
      </c>
      <c r="I18" s="43">
        <v>1</v>
      </c>
      <c r="J18" s="43">
        <v>1</v>
      </c>
      <c r="K18" s="43">
        <v>1</v>
      </c>
      <c r="L18" s="43">
        <v>0</v>
      </c>
      <c r="M18" s="43">
        <v>0</v>
      </c>
      <c r="N18" s="43">
        <v>0</v>
      </c>
      <c r="O18" s="43">
        <v>0</v>
      </c>
    </row>
    <row r="19" spans="1:15" x14ac:dyDescent="0.15">
      <c r="B19" s="4" t="s">
        <v>139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1</v>
      </c>
      <c r="I19" s="43">
        <v>1</v>
      </c>
      <c r="J19" s="43">
        <v>1</v>
      </c>
      <c r="K19" s="43">
        <v>1</v>
      </c>
      <c r="L19" s="43">
        <v>0</v>
      </c>
      <c r="M19" s="43">
        <v>0</v>
      </c>
      <c r="N19" s="43">
        <v>0</v>
      </c>
      <c r="O19" s="43">
        <v>0</v>
      </c>
    </row>
    <row r="20" spans="1:15" x14ac:dyDescent="0.15">
      <c r="B20" t="s">
        <v>119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1</v>
      </c>
      <c r="I20" s="43">
        <v>1</v>
      </c>
      <c r="J20" s="43">
        <v>1</v>
      </c>
      <c r="K20" s="43">
        <v>1</v>
      </c>
      <c r="L20" s="43">
        <v>0</v>
      </c>
      <c r="M20" s="43">
        <v>0</v>
      </c>
      <c r="N20" s="43">
        <v>0</v>
      </c>
      <c r="O20" s="43">
        <v>0</v>
      </c>
    </row>
    <row r="21" spans="1:15" x14ac:dyDescent="0.15">
      <c r="B21" t="s">
        <v>161</v>
      </c>
      <c r="C21" s="43">
        <v>1</v>
      </c>
      <c r="D21" s="43">
        <v>1</v>
      </c>
      <c r="E21" s="43">
        <v>1</v>
      </c>
      <c r="F21" s="43">
        <v>1</v>
      </c>
      <c r="G21" s="43">
        <v>1</v>
      </c>
      <c r="H21" s="136">
        <v>0</v>
      </c>
      <c r="I21" s="136">
        <v>0</v>
      </c>
      <c r="J21" s="136">
        <v>0</v>
      </c>
      <c r="K21" s="136">
        <v>0</v>
      </c>
      <c r="L21" s="136">
        <v>0</v>
      </c>
      <c r="M21" s="136">
        <v>0</v>
      </c>
      <c r="N21" s="136">
        <v>0</v>
      </c>
      <c r="O21" s="136">
        <v>0</v>
      </c>
    </row>
    <row r="22" spans="1:15" x14ac:dyDescent="0.15">
      <c r="B22" t="s">
        <v>162</v>
      </c>
      <c r="C22" s="43">
        <v>1</v>
      </c>
      <c r="D22" s="43">
        <v>1</v>
      </c>
      <c r="E22" s="43">
        <v>1</v>
      </c>
      <c r="F22" s="43">
        <v>1</v>
      </c>
      <c r="G22" s="43">
        <v>1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</row>
    <row r="23" spans="1:15" x14ac:dyDescent="0.15">
      <c r="B23" t="s">
        <v>163</v>
      </c>
      <c r="C23" s="43">
        <v>1</v>
      </c>
      <c r="D23" s="43">
        <v>1</v>
      </c>
      <c r="E23" s="43">
        <v>1</v>
      </c>
      <c r="F23" s="43">
        <v>1</v>
      </c>
      <c r="G23" s="43">
        <v>1</v>
      </c>
      <c r="H23" s="136">
        <v>0</v>
      </c>
      <c r="I23" s="136">
        <v>0</v>
      </c>
      <c r="J23" s="136">
        <v>0</v>
      </c>
      <c r="K23" s="136">
        <v>0</v>
      </c>
      <c r="L23" s="136">
        <v>0</v>
      </c>
      <c r="M23" s="136">
        <v>0</v>
      </c>
      <c r="N23" s="136">
        <v>0</v>
      </c>
      <c r="O23" s="136">
        <v>0</v>
      </c>
    </row>
    <row r="24" spans="1:15" x14ac:dyDescent="0.15"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</row>
    <row r="25" spans="1:15" x14ac:dyDescent="0.15">
      <c r="A25" s="10" t="s">
        <v>84</v>
      </c>
      <c r="B25" t="s">
        <v>120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1</v>
      </c>
      <c r="M25" s="43">
        <v>0</v>
      </c>
      <c r="N25" s="43">
        <v>0</v>
      </c>
      <c r="O25" s="43">
        <v>0</v>
      </c>
    </row>
    <row r="26" spans="1:15" x14ac:dyDescent="0.15">
      <c r="B26" t="s">
        <v>121</v>
      </c>
      <c r="C26" s="43">
        <v>0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1</v>
      </c>
      <c r="M26" s="43">
        <v>1</v>
      </c>
      <c r="N26" s="43">
        <v>1</v>
      </c>
      <c r="O26" s="43">
        <v>1</v>
      </c>
    </row>
    <row r="27" spans="1:15" x14ac:dyDescent="0.15">
      <c r="B27" t="s">
        <v>122</v>
      </c>
      <c r="C27" s="43">
        <v>0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1</v>
      </c>
      <c r="M27" s="43">
        <v>1</v>
      </c>
      <c r="N27" s="43">
        <v>1</v>
      </c>
      <c r="O27" s="43">
        <v>1</v>
      </c>
    </row>
    <row r="28" spans="1:15" x14ac:dyDescent="0.15">
      <c r="B28" t="s">
        <v>123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1</v>
      </c>
      <c r="M28" s="43">
        <v>0</v>
      </c>
      <c r="N28" s="43">
        <v>0</v>
      </c>
      <c r="O28" s="43">
        <v>0</v>
      </c>
    </row>
    <row r="29" spans="1:15" x14ac:dyDescent="0.15">
      <c r="B29" t="s">
        <v>124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1</v>
      </c>
      <c r="M29" s="43">
        <v>1</v>
      </c>
      <c r="N29" s="43">
        <v>1</v>
      </c>
      <c r="O29" s="43">
        <v>1</v>
      </c>
    </row>
    <row r="30" spans="1:15" x14ac:dyDescent="0.15">
      <c r="B30" t="s">
        <v>125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1</v>
      </c>
      <c r="M30" s="43">
        <v>1</v>
      </c>
      <c r="N30" s="43">
        <v>1</v>
      </c>
      <c r="O30" s="43">
        <v>1</v>
      </c>
    </row>
    <row r="31" spans="1:15" x14ac:dyDescent="0.15">
      <c r="B31" t="s">
        <v>126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1</v>
      </c>
      <c r="M31" s="43">
        <v>1</v>
      </c>
      <c r="N31" s="43">
        <v>1</v>
      </c>
      <c r="O31" s="43">
        <v>1</v>
      </c>
    </row>
    <row r="32" spans="1:15" x14ac:dyDescent="0.15">
      <c r="A32" s="10"/>
      <c r="B32" t="s">
        <v>128</v>
      </c>
      <c r="C32" s="43">
        <v>0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1</v>
      </c>
      <c r="M32" s="43">
        <v>0</v>
      </c>
      <c r="N32" s="43">
        <v>0</v>
      </c>
      <c r="O32" s="43">
        <v>0</v>
      </c>
    </row>
    <row r="33" spans="1:15" x14ac:dyDescent="0.15">
      <c r="B33" t="s">
        <v>129</v>
      </c>
      <c r="C33" s="43">
        <v>0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1</v>
      </c>
      <c r="M33" s="43">
        <v>1</v>
      </c>
      <c r="N33" s="43">
        <v>1</v>
      </c>
      <c r="O33" s="43">
        <v>1</v>
      </c>
    </row>
    <row r="34" spans="1:15" x14ac:dyDescent="0.15">
      <c r="B34" t="s">
        <v>130</v>
      </c>
      <c r="C34" s="43">
        <v>0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1</v>
      </c>
      <c r="M34" s="43">
        <v>1</v>
      </c>
      <c r="N34" s="43">
        <v>1</v>
      </c>
      <c r="O34" s="43">
        <v>1</v>
      </c>
    </row>
    <row r="35" spans="1:15" x14ac:dyDescent="0.15">
      <c r="B35" t="s">
        <v>131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1</v>
      </c>
      <c r="M35" s="43">
        <v>0</v>
      </c>
      <c r="N35" s="43">
        <v>0</v>
      </c>
      <c r="O35" s="43">
        <v>0</v>
      </c>
    </row>
    <row r="36" spans="1:15" x14ac:dyDescent="0.15">
      <c r="B36" t="s">
        <v>132</v>
      </c>
      <c r="C36" s="43">
        <v>0</v>
      </c>
      <c r="D36" s="43">
        <v>0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1</v>
      </c>
      <c r="M36" s="43">
        <v>1</v>
      </c>
      <c r="N36" s="43">
        <v>1</v>
      </c>
      <c r="O36" s="43">
        <v>1</v>
      </c>
    </row>
    <row r="37" spans="1:15" x14ac:dyDescent="0.15">
      <c r="B37" t="s">
        <v>133</v>
      </c>
      <c r="C37" s="43">
        <v>0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1</v>
      </c>
      <c r="M37" s="43">
        <v>1</v>
      </c>
      <c r="N37" s="43">
        <v>1</v>
      </c>
      <c r="O37" s="43">
        <v>1</v>
      </c>
    </row>
    <row r="38" spans="1:15" x14ac:dyDescent="0.15">
      <c r="B38" t="s">
        <v>134</v>
      </c>
      <c r="C38" s="43">
        <v>0</v>
      </c>
      <c r="D38" s="43">
        <v>0</v>
      </c>
      <c r="E38" s="43">
        <v>0</v>
      </c>
      <c r="F38" s="43">
        <v>0</v>
      </c>
      <c r="G38" s="43">
        <v>0</v>
      </c>
      <c r="H38" s="43">
        <v>0</v>
      </c>
      <c r="I38" s="43">
        <v>0</v>
      </c>
      <c r="J38" s="43">
        <v>0</v>
      </c>
      <c r="K38" s="43">
        <v>0</v>
      </c>
      <c r="L38" s="43">
        <v>1</v>
      </c>
      <c r="M38" s="43">
        <v>1</v>
      </c>
      <c r="N38" s="43">
        <v>1</v>
      </c>
      <c r="O38" s="43">
        <v>1</v>
      </c>
    </row>
    <row r="39" spans="1:15" x14ac:dyDescent="0.15">
      <c r="B39" t="s">
        <v>185</v>
      </c>
      <c r="C39" s="43">
        <v>0</v>
      </c>
      <c r="D39" s="43">
        <v>0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3">
        <v>0</v>
      </c>
      <c r="K39" s="43">
        <v>0</v>
      </c>
      <c r="L39" s="136">
        <v>1</v>
      </c>
      <c r="M39" s="136">
        <v>1</v>
      </c>
      <c r="N39" s="136">
        <v>1</v>
      </c>
      <c r="O39" s="136">
        <v>1</v>
      </c>
    </row>
    <row r="40" spans="1:15" x14ac:dyDescent="0.15">
      <c r="B40" s="11" t="s">
        <v>268</v>
      </c>
      <c r="C40" s="43">
        <v>0</v>
      </c>
      <c r="D40" s="43">
        <v>0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3">
        <v>1</v>
      </c>
      <c r="M40" s="43">
        <v>1</v>
      </c>
      <c r="N40" s="43">
        <v>1</v>
      </c>
      <c r="O40" s="43">
        <v>1</v>
      </c>
    </row>
    <row r="41" spans="1:15" x14ac:dyDescent="0.15">
      <c r="B41" s="12"/>
      <c r="C41" s="43"/>
      <c r="D41" s="43"/>
      <c r="E41" s="137"/>
      <c r="F41" s="137"/>
      <c r="G41" s="137"/>
      <c r="H41" s="137"/>
      <c r="I41" s="137"/>
      <c r="J41" s="135"/>
      <c r="K41" s="135"/>
      <c r="L41" s="135"/>
      <c r="M41" s="135"/>
      <c r="N41" s="135"/>
      <c r="O41" s="135"/>
    </row>
    <row r="42" spans="1:15" x14ac:dyDescent="0.15">
      <c r="A42" s="10" t="s">
        <v>79</v>
      </c>
      <c r="B42" t="s">
        <v>257</v>
      </c>
      <c r="C42" s="43">
        <v>1</v>
      </c>
      <c r="D42" s="43">
        <v>1</v>
      </c>
      <c r="E42" s="43">
        <v>1</v>
      </c>
      <c r="F42" s="43">
        <v>1</v>
      </c>
      <c r="G42" s="43">
        <v>1</v>
      </c>
      <c r="H42" s="43">
        <v>1</v>
      </c>
      <c r="I42" s="43">
        <v>1</v>
      </c>
      <c r="J42" s="43">
        <v>1</v>
      </c>
      <c r="K42" s="43">
        <v>1</v>
      </c>
      <c r="L42" s="43">
        <v>1</v>
      </c>
      <c r="M42" s="43">
        <v>1</v>
      </c>
      <c r="N42" s="43">
        <v>1</v>
      </c>
      <c r="O42" s="43">
        <v>1</v>
      </c>
    </row>
    <row r="43" spans="1:15" x14ac:dyDescent="0.15">
      <c r="B43" t="s">
        <v>258</v>
      </c>
      <c r="C43" s="43">
        <v>1</v>
      </c>
      <c r="D43" s="43">
        <v>1</v>
      </c>
      <c r="E43" s="43">
        <v>1</v>
      </c>
      <c r="F43" s="43">
        <v>1</v>
      </c>
      <c r="G43" s="43">
        <v>1</v>
      </c>
      <c r="H43" s="43">
        <v>1</v>
      </c>
      <c r="I43" s="43">
        <v>1</v>
      </c>
      <c r="J43" s="43">
        <v>1</v>
      </c>
      <c r="K43" s="43">
        <v>1</v>
      </c>
      <c r="L43" s="43">
        <v>1</v>
      </c>
      <c r="M43" s="43">
        <v>1</v>
      </c>
      <c r="N43" s="43">
        <v>1</v>
      </c>
      <c r="O43" s="43">
        <v>1</v>
      </c>
    </row>
    <row r="44" spans="1:15" x14ac:dyDescent="0.15">
      <c r="B44" t="s">
        <v>259</v>
      </c>
      <c r="C44" s="43">
        <v>1</v>
      </c>
      <c r="D44" s="43">
        <v>1</v>
      </c>
      <c r="E44" s="43">
        <v>1</v>
      </c>
      <c r="F44" s="43">
        <v>1</v>
      </c>
      <c r="G44" s="43">
        <v>1</v>
      </c>
      <c r="H44" s="43">
        <v>1</v>
      </c>
      <c r="I44" s="43">
        <v>1</v>
      </c>
      <c r="J44" s="43">
        <v>1</v>
      </c>
      <c r="K44" s="43">
        <v>1</v>
      </c>
      <c r="L44" s="43">
        <v>1</v>
      </c>
      <c r="M44" s="43">
        <v>1</v>
      </c>
      <c r="N44" s="43">
        <v>1</v>
      </c>
      <c r="O44" s="43">
        <v>1</v>
      </c>
    </row>
    <row r="45" spans="1:15" x14ac:dyDescent="0.15">
      <c r="B45" t="s">
        <v>260</v>
      </c>
      <c r="C45" s="43">
        <v>1</v>
      </c>
      <c r="D45" s="43">
        <v>1</v>
      </c>
      <c r="E45" s="43">
        <v>1</v>
      </c>
      <c r="F45" s="43">
        <v>1</v>
      </c>
      <c r="G45" s="43">
        <v>1</v>
      </c>
      <c r="H45" s="43">
        <v>1</v>
      </c>
      <c r="I45" s="43">
        <v>1</v>
      </c>
      <c r="J45" s="43">
        <v>1</v>
      </c>
      <c r="K45" s="43">
        <v>1</v>
      </c>
      <c r="L45" s="43">
        <v>1</v>
      </c>
      <c r="M45" s="43">
        <v>1</v>
      </c>
      <c r="N45" s="43">
        <v>1</v>
      </c>
      <c r="O45" s="43">
        <v>1</v>
      </c>
    </row>
    <row r="46" spans="1:15" x14ac:dyDescent="0.15">
      <c r="B46" t="s">
        <v>261</v>
      </c>
      <c r="C46" s="43">
        <v>1</v>
      </c>
      <c r="D46" s="43">
        <v>1</v>
      </c>
      <c r="E46" s="43">
        <v>1</v>
      </c>
      <c r="F46" s="43">
        <v>1</v>
      </c>
      <c r="G46" s="43">
        <v>1</v>
      </c>
      <c r="H46" s="43">
        <v>1</v>
      </c>
      <c r="I46" s="43">
        <v>1</v>
      </c>
      <c r="J46" s="43">
        <v>1</v>
      </c>
      <c r="K46" s="43">
        <v>1</v>
      </c>
      <c r="L46" s="43">
        <v>1</v>
      </c>
      <c r="M46" s="43">
        <v>1</v>
      </c>
      <c r="N46" s="43">
        <v>1</v>
      </c>
      <c r="O46" s="43">
        <v>1</v>
      </c>
    </row>
    <row r="47" spans="1:15" x14ac:dyDescent="0.15">
      <c r="B47" t="s">
        <v>262</v>
      </c>
      <c r="C47" s="43">
        <v>1</v>
      </c>
      <c r="D47" s="43">
        <v>1</v>
      </c>
      <c r="E47" s="43">
        <v>1</v>
      </c>
      <c r="F47" s="43">
        <v>1</v>
      </c>
      <c r="G47" s="43">
        <v>1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</row>
    <row r="48" spans="1:15" x14ac:dyDescent="0.15">
      <c r="B48" t="s">
        <v>263</v>
      </c>
      <c r="C48" s="43">
        <v>1</v>
      </c>
      <c r="D48" s="43">
        <v>1</v>
      </c>
      <c r="E48" s="43">
        <v>1</v>
      </c>
      <c r="F48" s="43">
        <v>1</v>
      </c>
      <c r="G48" s="43">
        <v>1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</row>
    <row r="49" spans="1:15" x14ac:dyDescent="0.15">
      <c r="B49" s="4" t="s">
        <v>264</v>
      </c>
      <c r="C49" s="43">
        <v>0</v>
      </c>
      <c r="D49" s="43">
        <v>0</v>
      </c>
      <c r="E49" s="43">
        <v>0</v>
      </c>
      <c r="F49" s="43">
        <v>0</v>
      </c>
      <c r="G49" s="43">
        <v>0</v>
      </c>
      <c r="H49" s="43">
        <v>1</v>
      </c>
      <c r="I49" s="43">
        <v>1</v>
      </c>
      <c r="J49" s="43">
        <v>1</v>
      </c>
      <c r="K49" s="43">
        <v>1</v>
      </c>
      <c r="L49" s="43">
        <v>0</v>
      </c>
      <c r="M49" s="43">
        <v>0</v>
      </c>
      <c r="N49" s="43">
        <v>0</v>
      </c>
      <c r="O49" s="43">
        <v>0</v>
      </c>
    </row>
    <row r="50" spans="1:15" x14ac:dyDescent="0.15">
      <c r="B50" s="4" t="s">
        <v>265</v>
      </c>
      <c r="C50" s="43">
        <v>0</v>
      </c>
      <c r="D50" s="43">
        <v>0</v>
      </c>
      <c r="E50" s="43">
        <v>0</v>
      </c>
      <c r="F50" s="43">
        <v>0</v>
      </c>
      <c r="G50" s="43">
        <v>0</v>
      </c>
      <c r="H50" s="43">
        <v>1</v>
      </c>
      <c r="I50" s="43">
        <v>1</v>
      </c>
      <c r="J50" s="43">
        <v>1</v>
      </c>
      <c r="K50" s="43">
        <v>1</v>
      </c>
      <c r="L50" s="43">
        <v>0</v>
      </c>
      <c r="M50" s="43">
        <v>0</v>
      </c>
      <c r="N50" s="43">
        <v>0</v>
      </c>
      <c r="O50" s="43">
        <v>0</v>
      </c>
    </row>
    <row r="51" spans="1:15" x14ac:dyDescent="0.15">
      <c r="B51" s="4" t="s">
        <v>266</v>
      </c>
      <c r="C51" s="43">
        <v>0</v>
      </c>
      <c r="D51" s="43">
        <v>0</v>
      </c>
      <c r="E51" s="43">
        <v>0</v>
      </c>
      <c r="F51" s="43">
        <v>0</v>
      </c>
      <c r="G51" s="43">
        <v>0</v>
      </c>
      <c r="H51" s="43">
        <v>1</v>
      </c>
      <c r="I51" s="43">
        <v>1</v>
      </c>
      <c r="J51" s="43">
        <v>1</v>
      </c>
      <c r="K51" s="43">
        <v>1</v>
      </c>
      <c r="L51" s="43">
        <v>0</v>
      </c>
      <c r="M51" s="43">
        <v>0</v>
      </c>
      <c r="N51" s="43">
        <v>0</v>
      </c>
      <c r="O51" s="43">
        <v>0</v>
      </c>
    </row>
    <row r="52" spans="1:15" x14ac:dyDescent="0.15">
      <c r="A52" s="11"/>
      <c r="B52" s="12" t="s">
        <v>78</v>
      </c>
      <c r="C52" s="136">
        <v>1</v>
      </c>
      <c r="D52" s="136">
        <v>1</v>
      </c>
      <c r="E52" s="136">
        <v>1</v>
      </c>
      <c r="F52" s="136">
        <v>1</v>
      </c>
      <c r="G52" s="136">
        <v>1</v>
      </c>
      <c r="H52" s="136">
        <v>1</v>
      </c>
      <c r="I52" s="136">
        <v>1</v>
      </c>
      <c r="J52" s="136">
        <v>1</v>
      </c>
      <c r="K52" s="136">
        <v>1</v>
      </c>
      <c r="L52" s="136">
        <v>1</v>
      </c>
      <c r="M52" s="136">
        <v>1</v>
      </c>
      <c r="N52" s="136">
        <v>1</v>
      </c>
      <c r="O52" s="136">
        <v>1</v>
      </c>
    </row>
    <row r="53" spans="1:15" s="11" customFormat="1" x14ac:dyDescent="0.15">
      <c r="B53" s="12" t="s">
        <v>144</v>
      </c>
      <c r="C53" s="108">
        <v>1</v>
      </c>
      <c r="D53" s="108">
        <v>0</v>
      </c>
      <c r="E53" s="138">
        <v>1</v>
      </c>
      <c r="F53" s="138">
        <v>1</v>
      </c>
      <c r="G53" s="138">
        <v>1</v>
      </c>
      <c r="H53" s="138">
        <v>1</v>
      </c>
      <c r="I53" s="138">
        <v>1</v>
      </c>
      <c r="J53" s="138">
        <v>1</v>
      </c>
      <c r="K53" s="138">
        <v>1</v>
      </c>
      <c r="L53" s="138">
        <v>1</v>
      </c>
      <c r="M53" s="138">
        <v>1</v>
      </c>
      <c r="N53" s="138">
        <v>1</v>
      </c>
      <c r="O53" s="138">
        <v>1</v>
      </c>
    </row>
    <row r="54" spans="1:15" s="11" customFormat="1" x14ac:dyDescent="0.15">
      <c r="B54" s="12" t="s">
        <v>145</v>
      </c>
      <c r="C54" s="108">
        <v>1</v>
      </c>
      <c r="D54" s="108">
        <v>0</v>
      </c>
      <c r="E54" s="108">
        <v>1</v>
      </c>
      <c r="F54" s="108">
        <v>1</v>
      </c>
      <c r="G54" s="108">
        <v>1</v>
      </c>
      <c r="H54" s="108">
        <v>1</v>
      </c>
      <c r="I54" s="108">
        <v>1</v>
      </c>
      <c r="J54" s="108">
        <v>1</v>
      </c>
      <c r="K54" s="108">
        <v>1</v>
      </c>
      <c r="L54" s="108">
        <v>1</v>
      </c>
      <c r="M54" s="108">
        <v>1</v>
      </c>
      <c r="N54" s="108">
        <v>1</v>
      </c>
      <c r="O54" s="108">
        <v>1</v>
      </c>
    </row>
    <row r="55" spans="1:15" s="11" customFormat="1" x14ac:dyDescent="0.15">
      <c r="B55" s="12" t="s">
        <v>146</v>
      </c>
      <c r="C55" s="108">
        <v>1</v>
      </c>
      <c r="D55" s="108">
        <v>0</v>
      </c>
      <c r="E55" s="108">
        <v>1</v>
      </c>
      <c r="F55" s="108">
        <v>1</v>
      </c>
      <c r="G55" s="108">
        <v>1</v>
      </c>
      <c r="H55" s="108">
        <v>1</v>
      </c>
      <c r="I55" s="108">
        <v>1</v>
      </c>
      <c r="J55" s="108">
        <v>1</v>
      </c>
      <c r="K55" s="108">
        <v>1</v>
      </c>
      <c r="L55" s="108">
        <v>1</v>
      </c>
      <c r="M55" s="108">
        <v>1</v>
      </c>
      <c r="N55" s="108">
        <v>1</v>
      </c>
      <c r="O55" s="108">
        <v>1</v>
      </c>
    </row>
    <row r="56" spans="1:15" x14ac:dyDescent="0.15">
      <c r="B56" s="4" t="s">
        <v>97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43"/>
  <sheetViews>
    <sheetView workbookViewId="0"/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203</v>
      </c>
      <c r="B1" s="10" t="s">
        <v>225</v>
      </c>
      <c r="C1" s="10" t="s">
        <v>224</v>
      </c>
    </row>
    <row r="2" spans="1:3" x14ac:dyDescent="0.15">
      <c r="A2" t="s">
        <v>55</v>
      </c>
    </row>
    <row r="3" spans="1:3" x14ac:dyDescent="0.15">
      <c r="A3" s="4" t="s">
        <v>143</v>
      </c>
    </row>
    <row r="4" spans="1:3" ht="14" x14ac:dyDescent="0.15">
      <c r="A4" s="58" t="s">
        <v>185</v>
      </c>
    </row>
    <row r="5" spans="1:3" x14ac:dyDescent="0.15">
      <c r="A5" s="12" t="s">
        <v>145</v>
      </c>
    </row>
    <row r="6" spans="1:3" x14ac:dyDescent="0.15">
      <c r="A6" s="12" t="s">
        <v>146</v>
      </c>
    </row>
    <row r="7" spans="1:3" x14ac:dyDescent="0.15">
      <c r="A7" s="12" t="s">
        <v>144</v>
      </c>
    </row>
    <row r="8" spans="1:3" x14ac:dyDescent="0.15">
      <c r="A8" t="s">
        <v>124</v>
      </c>
    </row>
    <row r="9" spans="1:3" x14ac:dyDescent="0.15">
      <c r="A9" t="s">
        <v>132</v>
      </c>
      <c r="C9" s="4" t="s">
        <v>78</v>
      </c>
    </row>
    <row r="10" spans="1:3" x14ac:dyDescent="0.15">
      <c r="A10" t="s">
        <v>125</v>
      </c>
    </row>
    <row r="11" spans="1:3" x14ac:dyDescent="0.15">
      <c r="A11" t="s">
        <v>133</v>
      </c>
      <c r="C11" s="4" t="s">
        <v>78</v>
      </c>
    </row>
    <row r="12" spans="1:3" x14ac:dyDescent="0.15">
      <c r="A12" t="s">
        <v>126</v>
      </c>
    </row>
    <row r="13" spans="1:3" x14ac:dyDescent="0.15">
      <c r="A13" t="s">
        <v>134</v>
      </c>
      <c r="C13" s="4" t="s">
        <v>78</v>
      </c>
    </row>
    <row r="14" spans="1:3" x14ac:dyDescent="0.15">
      <c r="A14" t="s">
        <v>123</v>
      </c>
    </row>
    <row r="15" spans="1:3" x14ac:dyDescent="0.15">
      <c r="A15" t="s">
        <v>131</v>
      </c>
      <c r="C15" s="4" t="s">
        <v>78</v>
      </c>
    </row>
    <row r="16" spans="1:3" x14ac:dyDescent="0.15">
      <c r="A16" t="s">
        <v>121</v>
      </c>
    </row>
    <row r="17" spans="1:3" x14ac:dyDescent="0.15">
      <c r="A17" t="s">
        <v>129</v>
      </c>
      <c r="C17" s="4" t="s">
        <v>78</v>
      </c>
    </row>
    <row r="18" spans="1:3" x14ac:dyDescent="0.15">
      <c r="A18" t="s">
        <v>122</v>
      </c>
    </row>
    <row r="19" spans="1:3" x14ac:dyDescent="0.15">
      <c r="A19" t="s">
        <v>130</v>
      </c>
      <c r="C19" s="4" t="s">
        <v>78</v>
      </c>
    </row>
    <row r="20" spans="1:3" x14ac:dyDescent="0.15">
      <c r="A20" t="s">
        <v>120</v>
      </c>
    </row>
    <row r="21" spans="1:3" x14ac:dyDescent="0.15">
      <c r="A21" t="s">
        <v>128</v>
      </c>
      <c r="C21" s="4" t="s">
        <v>78</v>
      </c>
    </row>
    <row r="22" spans="1:3" x14ac:dyDescent="0.15">
      <c r="A22" t="s">
        <v>119</v>
      </c>
    </row>
    <row r="23" spans="1:3" x14ac:dyDescent="0.15">
      <c r="A23" s="4" t="s">
        <v>77</v>
      </c>
      <c r="B23" t="s">
        <v>135</v>
      </c>
    </row>
    <row r="24" spans="1:3" x14ac:dyDescent="0.15">
      <c r="A24" s="4" t="s">
        <v>139</v>
      </c>
      <c r="B24" t="s">
        <v>138</v>
      </c>
      <c r="C24" t="s">
        <v>119</v>
      </c>
    </row>
    <row r="25" spans="1:3" x14ac:dyDescent="0.15">
      <c r="A25" s="4" t="s">
        <v>97</v>
      </c>
    </row>
    <row r="26" spans="1:3" x14ac:dyDescent="0.15">
      <c r="A26" s="4" t="s">
        <v>81</v>
      </c>
      <c r="B26" s="12" t="s">
        <v>145</v>
      </c>
    </row>
    <row r="27" spans="1:3" x14ac:dyDescent="0.15">
      <c r="A27" s="4" t="s">
        <v>82</v>
      </c>
      <c r="B27" s="12" t="s">
        <v>146</v>
      </c>
    </row>
    <row r="28" spans="1:3" x14ac:dyDescent="0.15">
      <c r="A28" s="4" t="s">
        <v>80</v>
      </c>
      <c r="B28" s="12" t="s">
        <v>144</v>
      </c>
    </row>
    <row r="29" spans="1:3" x14ac:dyDescent="0.15">
      <c r="A29" s="4" t="s">
        <v>78</v>
      </c>
    </row>
    <row r="30" spans="1:3" x14ac:dyDescent="0.15">
      <c r="A30" t="s">
        <v>135</v>
      </c>
    </row>
    <row r="31" spans="1:3" x14ac:dyDescent="0.15">
      <c r="A31" t="s">
        <v>138</v>
      </c>
      <c r="C31" t="s">
        <v>119</v>
      </c>
    </row>
    <row r="32" spans="1:3" x14ac:dyDescent="0.15">
      <c r="A32" s="4" t="s">
        <v>127</v>
      </c>
      <c r="B32" t="s">
        <v>229</v>
      </c>
    </row>
    <row r="33" spans="1:3" x14ac:dyDescent="0.15">
      <c r="A33" s="4" t="s">
        <v>75</v>
      </c>
    </row>
    <row r="34" spans="1:3" x14ac:dyDescent="0.15">
      <c r="A34" s="4" t="s">
        <v>136</v>
      </c>
      <c r="C34" s="4" t="s">
        <v>78</v>
      </c>
    </row>
    <row r="35" spans="1:3" x14ac:dyDescent="0.15">
      <c r="A35" s="4" t="s">
        <v>74</v>
      </c>
      <c r="B35" t="s">
        <v>75</v>
      </c>
    </row>
    <row r="36" spans="1:3" x14ac:dyDescent="0.15">
      <c r="A36" s="29" t="s">
        <v>137</v>
      </c>
      <c r="B36" t="s">
        <v>136</v>
      </c>
      <c r="C36" s="4" t="s">
        <v>78</v>
      </c>
    </row>
    <row r="37" spans="1:3" x14ac:dyDescent="0.15">
      <c r="A37" s="4" t="s">
        <v>151</v>
      </c>
    </row>
    <row r="38" spans="1:3" x14ac:dyDescent="0.15">
      <c r="A38" s="4" t="s">
        <v>152</v>
      </c>
    </row>
    <row r="39" spans="1:3" x14ac:dyDescent="0.15">
      <c r="A39" s="4" t="s">
        <v>47</v>
      </c>
      <c r="B39" s="4" t="s">
        <v>74</v>
      </c>
    </row>
    <row r="40" spans="1:3" x14ac:dyDescent="0.15">
      <c r="A40" s="4" t="s">
        <v>140</v>
      </c>
      <c r="B40" s="4" t="s">
        <v>74</v>
      </c>
    </row>
    <row r="41" spans="1:3" x14ac:dyDescent="0.15">
      <c r="A41" s="4" t="s">
        <v>161</v>
      </c>
    </row>
    <row r="42" spans="1:3" x14ac:dyDescent="0.15">
      <c r="A42" s="4" t="s">
        <v>162</v>
      </c>
    </row>
    <row r="43" spans="1:3" x14ac:dyDescent="0.15">
      <c r="A43" s="4" t="s">
        <v>163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workbookViewId="0"/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203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t="s">
        <v>55</v>
      </c>
      <c r="I2" t="s">
        <v>165</v>
      </c>
    </row>
    <row r="3" spans="1:11" ht="14" x14ac:dyDescent="0.15">
      <c r="A3" s="66" t="s">
        <v>268</v>
      </c>
      <c r="K3" t="s">
        <v>165</v>
      </c>
    </row>
    <row r="4" spans="1:11" x14ac:dyDescent="0.15">
      <c r="A4" s="4" t="s">
        <v>264</v>
      </c>
      <c r="H4" t="s">
        <v>165</v>
      </c>
    </row>
    <row r="5" spans="1:11" x14ac:dyDescent="0.15">
      <c r="A5" s="4" t="s">
        <v>143</v>
      </c>
      <c r="D5" t="s">
        <v>165</v>
      </c>
    </row>
    <row r="6" spans="1:11" x14ac:dyDescent="0.15">
      <c r="A6" t="s">
        <v>185</v>
      </c>
      <c r="J6" t="s">
        <v>165</v>
      </c>
    </row>
    <row r="7" spans="1:11" x14ac:dyDescent="0.15">
      <c r="A7" s="4" t="s">
        <v>145</v>
      </c>
      <c r="C7" t="s">
        <v>165</v>
      </c>
      <c r="H7" t="s">
        <v>165</v>
      </c>
    </row>
    <row r="8" spans="1:11" x14ac:dyDescent="0.15">
      <c r="A8" s="4" t="s">
        <v>146</v>
      </c>
      <c r="C8" t="s">
        <v>165</v>
      </c>
      <c r="H8" t="s">
        <v>165</v>
      </c>
    </row>
    <row r="9" spans="1:11" x14ac:dyDescent="0.15">
      <c r="A9" s="4" t="s">
        <v>144</v>
      </c>
      <c r="C9" t="s">
        <v>165</v>
      </c>
      <c r="H9" t="s">
        <v>165</v>
      </c>
    </row>
    <row r="10" spans="1:11" x14ac:dyDescent="0.15">
      <c r="A10" t="s">
        <v>124</v>
      </c>
      <c r="C10" t="s">
        <v>165</v>
      </c>
    </row>
    <row r="11" spans="1:11" x14ac:dyDescent="0.15">
      <c r="A11" t="s">
        <v>132</v>
      </c>
      <c r="C11" t="s">
        <v>165</v>
      </c>
    </row>
    <row r="12" spans="1:11" x14ac:dyDescent="0.15">
      <c r="A12" t="s">
        <v>125</v>
      </c>
      <c r="C12" t="s">
        <v>165</v>
      </c>
    </row>
    <row r="13" spans="1:11" x14ac:dyDescent="0.15">
      <c r="A13" t="s">
        <v>133</v>
      </c>
      <c r="C13" t="s">
        <v>165</v>
      </c>
    </row>
    <row r="14" spans="1:11" x14ac:dyDescent="0.15">
      <c r="A14" t="s">
        <v>126</v>
      </c>
      <c r="C14" t="s">
        <v>165</v>
      </c>
    </row>
    <row r="15" spans="1:11" x14ac:dyDescent="0.15">
      <c r="A15" t="s">
        <v>134</v>
      </c>
      <c r="C15" t="s">
        <v>165</v>
      </c>
    </row>
    <row r="16" spans="1:11" x14ac:dyDescent="0.15">
      <c r="A16" t="s">
        <v>123</v>
      </c>
      <c r="C16" t="s">
        <v>165</v>
      </c>
    </row>
    <row r="17" spans="1:9" x14ac:dyDescent="0.15">
      <c r="A17" t="s">
        <v>131</v>
      </c>
      <c r="C17" t="s">
        <v>165</v>
      </c>
    </row>
    <row r="18" spans="1:9" x14ac:dyDescent="0.15">
      <c r="A18" t="s">
        <v>121</v>
      </c>
      <c r="C18" t="s">
        <v>165</v>
      </c>
    </row>
    <row r="19" spans="1:9" x14ac:dyDescent="0.15">
      <c r="A19" t="s">
        <v>129</v>
      </c>
      <c r="C19" t="s">
        <v>165</v>
      </c>
    </row>
    <row r="20" spans="1:9" x14ac:dyDescent="0.15">
      <c r="A20" t="s">
        <v>122</v>
      </c>
      <c r="C20" t="s">
        <v>165</v>
      </c>
    </row>
    <row r="21" spans="1:9" x14ac:dyDescent="0.15">
      <c r="A21" t="s">
        <v>130</v>
      </c>
      <c r="C21" t="s">
        <v>165</v>
      </c>
    </row>
    <row r="22" spans="1:9" x14ac:dyDescent="0.15">
      <c r="A22" t="s">
        <v>120</v>
      </c>
      <c r="C22" t="s">
        <v>165</v>
      </c>
    </row>
    <row r="23" spans="1:9" x14ac:dyDescent="0.15">
      <c r="A23" t="s">
        <v>128</v>
      </c>
      <c r="C23" t="s">
        <v>165</v>
      </c>
    </row>
    <row r="24" spans="1:9" x14ac:dyDescent="0.15">
      <c r="A24" t="s">
        <v>119</v>
      </c>
      <c r="C24" t="s">
        <v>165</v>
      </c>
      <c r="H24" t="s">
        <v>165</v>
      </c>
      <c r="I24" t="s">
        <v>165</v>
      </c>
    </row>
    <row r="25" spans="1:9" x14ac:dyDescent="0.15">
      <c r="A25" s="4" t="s">
        <v>77</v>
      </c>
      <c r="C25" t="s">
        <v>165</v>
      </c>
      <c r="I25" t="s">
        <v>165</v>
      </c>
    </row>
    <row r="26" spans="1:9" x14ac:dyDescent="0.15">
      <c r="A26" s="4" t="s">
        <v>139</v>
      </c>
      <c r="C26" t="s">
        <v>165</v>
      </c>
      <c r="I26" t="s">
        <v>165</v>
      </c>
    </row>
    <row r="27" spans="1:9" x14ac:dyDescent="0.15">
      <c r="A27" s="4" t="s">
        <v>97</v>
      </c>
      <c r="C27" t="s">
        <v>165</v>
      </c>
    </row>
    <row r="28" spans="1:9" x14ac:dyDescent="0.15">
      <c r="A28" s="4" t="s">
        <v>81</v>
      </c>
      <c r="C28" t="s">
        <v>165</v>
      </c>
    </row>
    <row r="29" spans="1:9" x14ac:dyDescent="0.15">
      <c r="A29" s="4" t="s">
        <v>82</v>
      </c>
      <c r="C29" t="s">
        <v>165</v>
      </c>
    </row>
    <row r="30" spans="1:9" x14ac:dyDescent="0.15">
      <c r="A30" s="4" t="s">
        <v>80</v>
      </c>
      <c r="C30" t="s">
        <v>165</v>
      </c>
    </row>
    <row r="31" spans="1:9" x14ac:dyDescent="0.15">
      <c r="A31" s="4" t="s">
        <v>78</v>
      </c>
      <c r="C31" t="s">
        <v>165</v>
      </c>
      <c r="I31" t="s">
        <v>165</v>
      </c>
    </row>
    <row r="32" spans="1:9" x14ac:dyDescent="0.15">
      <c r="A32" s="4" t="s">
        <v>266</v>
      </c>
      <c r="H32" t="s">
        <v>165</v>
      </c>
    </row>
    <row r="33" spans="1:9" x14ac:dyDescent="0.15">
      <c r="A33" s="4" t="s">
        <v>265</v>
      </c>
      <c r="H33" t="s">
        <v>165</v>
      </c>
    </row>
    <row r="34" spans="1:9" x14ac:dyDescent="0.15">
      <c r="A34" t="s">
        <v>135</v>
      </c>
      <c r="C34" t="s">
        <v>165</v>
      </c>
      <c r="I34" t="s">
        <v>165</v>
      </c>
    </row>
    <row r="35" spans="1:9" x14ac:dyDescent="0.15">
      <c r="A35" t="s">
        <v>138</v>
      </c>
      <c r="C35" t="s">
        <v>165</v>
      </c>
      <c r="I35" t="s">
        <v>165</v>
      </c>
    </row>
    <row r="36" spans="1:9" x14ac:dyDescent="0.15">
      <c r="A36" t="s">
        <v>262</v>
      </c>
      <c r="G36" t="s">
        <v>165</v>
      </c>
    </row>
    <row r="37" spans="1:9" x14ac:dyDescent="0.15">
      <c r="A37" s="4" t="s">
        <v>127</v>
      </c>
      <c r="B37" t="s">
        <v>165</v>
      </c>
      <c r="D37" t="s">
        <v>165</v>
      </c>
    </row>
    <row r="38" spans="1:9" x14ac:dyDescent="0.15">
      <c r="A38" s="4" t="s">
        <v>75</v>
      </c>
      <c r="B38" t="s">
        <v>165</v>
      </c>
      <c r="C38" t="s">
        <v>165</v>
      </c>
      <c r="D38" t="s">
        <v>165</v>
      </c>
    </row>
    <row r="39" spans="1:9" x14ac:dyDescent="0.15">
      <c r="A39" s="4" t="s">
        <v>136</v>
      </c>
      <c r="B39" t="s">
        <v>165</v>
      </c>
      <c r="C39" t="s">
        <v>165</v>
      </c>
      <c r="D39" t="s">
        <v>165</v>
      </c>
    </row>
    <row r="40" spans="1:9" x14ac:dyDescent="0.15">
      <c r="A40" s="4" t="s">
        <v>74</v>
      </c>
      <c r="C40" t="s">
        <v>165</v>
      </c>
    </row>
    <row r="41" spans="1:9" x14ac:dyDescent="0.15">
      <c r="A41" s="4" t="s">
        <v>137</v>
      </c>
      <c r="C41" t="s">
        <v>165</v>
      </c>
    </row>
    <row r="42" spans="1:9" x14ac:dyDescent="0.15">
      <c r="A42" s="4" t="s">
        <v>151</v>
      </c>
      <c r="E42" t="s">
        <v>165</v>
      </c>
    </row>
    <row r="43" spans="1:9" x14ac:dyDescent="0.15">
      <c r="A43" s="4" t="s">
        <v>152</v>
      </c>
      <c r="E43" t="s">
        <v>165</v>
      </c>
    </row>
    <row r="44" spans="1:9" x14ac:dyDescent="0.15">
      <c r="A44" s="4" t="s">
        <v>47</v>
      </c>
      <c r="G44" t="s">
        <v>165</v>
      </c>
      <c r="H44" t="s">
        <v>165</v>
      </c>
    </row>
    <row r="45" spans="1:9" x14ac:dyDescent="0.15">
      <c r="A45" t="s">
        <v>261</v>
      </c>
      <c r="G45" t="s">
        <v>165</v>
      </c>
      <c r="H45" t="s">
        <v>165</v>
      </c>
    </row>
    <row r="46" spans="1:9" x14ac:dyDescent="0.15">
      <c r="A46" t="s">
        <v>260</v>
      </c>
      <c r="G46" t="s">
        <v>165</v>
      </c>
      <c r="H46" t="s">
        <v>165</v>
      </c>
    </row>
    <row r="47" spans="1:9" x14ac:dyDescent="0.15">
      <c r="A47" t="s">
        <v>259</v>
      </c>
      <c r="G47" t="s">
        <v>165</v>
      </c>
      <c r="H47" t="s">
        <v>165</v>
      </c>
    </row>
    <row r="48" spans="1:9" x14ac:dyDescent="0.15">
      <c r="A48" t="s">
        <v>257</v>
      </c>
      <c r="G48" t="s">
        <v>165</v>
      </c>
      <c r="H48" t="s">
        <v>165</v>
      </c>
    </row>
    <row r="49" spans="1:8" x14ac:dyDescent="0.15">
      <c r="A49" t="s">
        <v>258</v>
      </c>
      <c r="G49" t="s">
        <v>165</v>
      </c>
      <c r="H49" t="s">
        <v>165</v>
      </c>
    </row>
    <row r="50" spans="1:8" x14ac:dyDescent="0.15">
      <c r="A50" t="s">
        <v>263</v>
      </c>
      <c r="H50" t="s">
        <v>165</v>
      </c>
    </row>
    <row r="51" spans="1:8" x14ac:dyDescent="0.15">
      <c r="A51" s="4" t="s">
        <v>140</v>
      </c>
    </row>
    <row r="52" spans="1:8" x14ac:dyDescent="0.15">
      <c r="A52" s="134" t="s">
        <v>161</v>
      </c>
      <c r="B52" t="s">
        <v>165</v>
      </c>
      <c r="F52" t="s">
        <v>165</v>
      </c>
    </row>
    <row r="53" spans="1:8" x14ac:dyDescent="0.15">
      <c r="A53" s="134" t="s">
        <v>162</v>
      </c>
      <c r="B53" t="s">
        <v>165</v>
      </c>
      <c r="F53" t="s">
        <v>165</v>
      </c>
    </row>
    <row r="54" spans="1:8" x14ac:dyDescent="0.15">
      <c r="A54" s="134" t="s">
        <v>163</v>
      </c>
      <c r="B54" t="s">
        <v>165</v>
      </c>
      <c r="F54" t="s">
        <v>165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/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s="10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11" t="s">
        <v>165</v>
      </c>
    </row>
    <row r="3" spans="1:11" x14ac:dyDescent="0.15">
      <c r="A3" s="10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11" t="s">
        <v>165</v>
      </c>
    </row>
    <row r="4" spans="1:11" x14ac:dyDescent="0.15">
      <c r="A4" s="10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11" t="s">
        <v>165</v>
      </c>
    </row>
    <row r="5" spans="1:11" x14ac:dyDescent="0.15">
      <c r="A5" s="10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11" t="s">
        <v>165</v>
      </c>
    </row>
    <row r="6" spans="1:11" x14ac:dyDescent="0.15">
      <c r="A6" s="10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11" t="s">
        <v>165</v>
      </c>
    </row>
    <row r="7" spans="1:11" x14ac:dyDescent="0.15">
      <c r="A7" s="10" t="s">
        <v>115</v>
      </c>
      <c r="C7" t="s">
        <v>165</v>
      </c>
      <c r="I7" t="s">
        <v>165</v>
      </c>
      <c r="J7" s="11"/>
    </row>
    <row r="8" spans="1:11" x14ac:dyDescent="0.15">
      <c r="A8" s="10" t="s">
        <v>116</v>
      </c>
      <c r="C8" t="s">
        <v>165</v>
      </c>
      <c r="I8" t="s">
        <v>165</v>
      </c>
      <c r="J8" s="11"/>
    </row>
    <row r="9" spans="1:11" x14ac:dyDescent="0.15">
      <c r="A9" s="10" t="s">
        <v>117</v>
      </c>
      <c r="C9" t="s">
        <v>165</v>
      </c>
      <c r="I9" t="s">
        <v>165</v>
      </c>
      <c r="J9" s="11"/>
    </row>
    <row r="10" spans="1:11" x14ac:dyDescent="0.15">
      <c r="A10" s="10" t="s">
        <v>118</v>
      </c>
      <c r="C10" t="s">
        <v>165</v>
      </c>
      <c r="I10" t="s">
        <v>165</v>
      </c>
      <c r="J10" s="11"/>
    </row>
    <row r="11" spans="1:11" x14ac:dyDescent="0.15">
      <c r="A11" s="10" t="s">
        <v>111</v>
      </c>
      <c r="C11" t="s">
        <v>165</v>
      </c>
    </row>
    <row r="12" spans="1:11" x14ac:dyDescent="0.15">
      <c r="A12" s="10" t="s">
        <v>112</v>
      </c>
      <c r="C12" t="s">
        <v>165</v>
      </c>
    </row>
    <row r="13" spans="1:11" x14ac:dyDescent="0.15">
      <c r="A13" s="10" t="s">
        <v>113</v>
      </c>
      <c r="C13" t="s">
        <v>165</v>
      </c>
    </row>
    <row r="14" spans="1:11" x14ac:dyDescent="0.15">
      <c r="A14" s="10" t="s">
        <v>114</v>
      </c>
      <c r="C14" t="s">
        <v>165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topLeftCell="A2" workbookViewId="0"/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21" t="s">
        <v>203</v>
      </c>
      <c r="B1" s="121" t="s">
        <v>212</v>
      </c>
      <c r="C1" s="121" t="s">
        <v>141</v>
      </c>
      <c r="D1" s="121" t="s">
        <v>142</v>
      </c>
    </row>
    <row r="2" spans="1:4" ht="15.75" customHeight="1" x14ac:dyDescent="0.2">
      <c r="A2" s="122" t="s">
        <v>55</v>
      </c>
      <c r="B2" s="123">
        <v>0</v>
      </c>
      <c r="C2" s="123">
        <v>0.95</v>
      </c>
      <c r="D2" s="123">
        <v>25</v>
      </c>
    </row>
    <row r="3" spans="1:4" ht="15.75" customHeight="1" x14ac:dyDescent="0.2">
      <c r="A3" s="124" t="s">
        <v>268</v>
      </c>
      <c r="B3" s="125">
        <v>0</v>
      </c>
      <c r="C3" s="126">
        <v>0.85</v>
      </c>
      <c r="D3" s="126">
        <v>0.8</v>
      </c>
    </row>
    <row r="4" spans="1:4" ht="15.75" customHeight="1" x14ac:dyDescent="0.2">
      <c r="A4" s="127" t="s">
        <v>264</v>
      </c>
      <c r="B4" s="125">
        <v>0</v>
      </c>
      <c r="C4" s="126">
        <v>0.85</v>
      </c>
      <c r="D4" s="126">
        <v>7</v>
      </c>
    </row>
    <row r="5" spans="1:4" ht="15.75" customHeight="1" x14ac:dyDescent="0.2">
      <c r="A5" s="127" t="s">
        <v>143</v>
      </c>
      <c r="B5" s="126">
        <v>0</v>
      </c>
      <c r="C5" s="126">
        <v>0.85</v>
      </c>
      <c r="D5" s="126">
        <f>180</f>
        <v>180</v>
      </c>
    </row>
    <row r="6" spans="1:4" ht="15.75" customHeight="1" x14ac:dyDescent="0.2">
      <c r="A6" s="127" t="s">
        <v>185</v>
      </c>
      <c r="B6" s="125">
        <v>0</v>
      </c>
      <c r="C6" s="126">
        <v>0.85</v>
      </c>
      <c r="D6" s="126">
        <f>SUM('Programs family planning'!E2:E10)</f>
        <v>0.82100000000000006</v>
      </c>
    </row>
    <row r="7" spans="1:4" ht="15.75" customHeight="1" x14ac:dyDescent="0.2">
      <c r="A7" s="128" t="s">
        <v>145</v>
      </c>
      <c r="B7" s="129">
        <v>0.36</v>
      </c>
      <c r="C7" s="123">
        <v>0.8</v>
      </c>
      <c r="D7" s="123">
        <v>0.25</v>
      </c>
    </row>
    <row r="8" spans="1:4" ht="15.75" customHeight="1" x14ac:dyDescent="0.2">
      <c r="A8" s="127" t="s">
        <v>146</v>
      </c>
      <c r="B8" s="126">
        <v>0</v>
      </c>
      <c r="C8" s="126">
        <v>0.8</v>
      </c>
      <c r="D8" s="126">
        <v>0.75</v>
      </c>
    </row>
    <row r="9" spans="1:4" ht="15.75" customHeight="1" x14ac:dyDescent="0.2">
      <c r="A9" s="127" t="s">
        <v>144</v>
      </c>
      <c r="B9" s="126">
        <v>0</v>
      </c>
      <c r="C9" s="126">
        <v>0.12</v>
      </c>
      <c r="D9" s="126">
        <v>0.19</v>
      </c>
    </row>
    <row r="10" spans="1:4" ht="15.75" customHeight="1" x14ac:dyDescent="0.2">
      <c r="A10" s="127" t="s">
        <v>124</v>
      </c>
      <c r="B10" s="126">
        <v>0</v>
      </c>
      <c r="C10" s="126">
        <v>0.85</v>
      </c>
      <c r="D10" s="126">
        <v>0.73</v>
      </c>
    </row>
    <row r="11" spans="1:4" ht="15.75" customHeight="1" x14ac:dyDescent="0.2">
      <c r="A11" s="127" t="s">
        <v>132</v>
      </c>
      <c r="B11" s="126">
        <v>0</v>
      </c>
      <c r="C11" s="126">
        <v>0.85</v>
      </c>
      <c r="D11" s="126">
        <v>0.73</v>
      </c>
    </row>
    <row r="12" spans="1:4" ht="15.75" customHeight="1" x14ac:dyDescent="0.2">
      <c r="A12" s="127" t="s">
        <v>125</v>
      </c>
      <c r="B12" s="126">
        <v>0</v>
      </c>
      <c r="C12" s="126">
        <v>0.85</v>
      </c>
      <c r="D12" s="126">
        <v>1.78</v>
      </c>
    </row>
    <row r="13" spans="1:4" ht="15.75" customHeight="1" x14ac:dyDescent="0.2">
      <c r="A13" s="127" t="s">
        <v>133</v>
      </c>
      <c r="B13" s="126">
        <v>0</v>
      </c>
      <c r="C13" s="126">
        <v>0.85</v>
      </c>
      <c r="D13" s="126">
        <v>1.78</v>
      </c>
    </row>
    <row r="14" spans="1:4" ht="15.75" customHeight="1" x14ac:dyDescent="0.2">
      <c r="A14" s="127" t="s">
        <v>126</v>
      </c>
      <c r="B14" s="126">
        <v>0</v>
      </c>
      <c r="C14" s="126">
        <v>0.85</v>
      </c>
      <c r="D14" s="126">
        <v>0.24</v>
      </c>
    </row>
    <row r="15" spans="1:4" ht="15.75" customHeight="1" x14ac:dyDescent="0.2">
      <c r="A15" s="127" t="s">
        <v>134</v>
      </c>
      <c r="B15" s="126">
        <v>0</v>
      </c>
      <c r="C15" s="126">
        <v>0.85</v>
      </c>
      <c r="D15" s="126">
        <v>0.24</v>
      </c>
    </row>
    <row r="16" spans="1:4" ht="15.75" customHeight="1" x14ac:dyDescent="0.2">
      <c r="A16" s="127" t="s">
        <v>123</v>
      </c>
      <c r="B16" s="126">
        <v>0</v>
      </c>
      <c r="C16" s="126">
        <v>0.85</v>
      </c>
      <c r="D16" s="126">
        <v>0.55000000000000004</v>
      </c>
    </row>
    <row r="17" spans="1:5" ht="15.75" customHeight="1" x14ac:dyDescent="0.2">
      <c r="A17" s="127" t="s">
        <v>131</v>
      </c>
      <c r="B17" s="126">
        <v>0</v>
      </c>
      <c r="C17" s="126">
        <v>0.85</v>
      </c>
      <c r="D17" s="126">
        <v>0.55000000000000004</v>
      </c>
    </row>
    <row r="18" spans="1:5" ht="15.75" customHeight="1" x14ac:dyDescent="0.2">
      <c r="A18" s="127" t="s">
        <v>121</v>
      </c>
      <c r="B18" s="126">
        <v>0</v>
      </c>
      <c r="C18" s="126">
        <v>0.85</v>
      </c>
      <c r="D18" s="126">
        <v>0.73</v>
      </c>
    </row>
    <row r="19" spans="1:5" ht="15.75" customHeight="1" x14ac:dyDescent="0.2">
      <c r="A19" s="127" t="s">
        <v>129</v>
      </c>
      <c r="B19" s="126">
        <v>0</v>
      </c>
      <c r="C19" s="126">
        <v>0.85</v>
      </c>
      <c r="D19" s="126">
        <v>0.73</v>
      </c>
    </row>
    <row r="20" spans="1:5" ht="15.75" customHeight="1" x14ac:dyDescent="0.2">
      <c r="A20" s="127" t="s">
        <v>122</v>
      </c>
      <c r="B20" s="126">
        <v>0</v>
      </c>
      <c r="C20" s="126">
        <v>0.85</v>
      </c>
      <c r="D20" s="126">
        <v>1.78</v>
      </c>
    </row>
    <row r="21" spans="1:5" ht="15.75" customHeight="1" x14ac:dyDescent="0.2">
      <c r="A21" s="127" t="s">
        <v>130</v>
      </c>
      <c r="B21" s="126">
        <v>0</v>
      </c>
      <c r="C21" s="126">
        <v>0.85</v>
      </c>
      <c r="D21" s="126">
        <v>1.78</v>
      </c>
    </row>
    <row r="22" spans="1:5" ht="15.75" customHeight="1" x14ac:dyDescent="0.2">
      <c r="A22" s="127" t="s">
        <v>120</v>
      </c>
      <c r="B22" s="126">
        <v>0</v>
      </c>
      <c r="C22" s="126">
        <v>0.85</v>
      </c>
      <c r="D22" s="126">
        <v>0.55000000000000004</v>
      </c>
    </row>
    <row r="23" spans="1:5" ht="15.75" customHeight="1" x14ac:dyDescent="0.2">
      <c r="A23" s="127" t="s">
        <v>128</v>
      </c>
      <c r="B23" s="126">
        <v>0</v>
      </c>
      <c r="C23" s="126">
        <v>0.85</v>
      </c>
      <c r="D23" s="126">
        <v>0.55000000000000004</v>
      </c>
    </row>
    <row r="24" spans="1:5" ht="15.75" customHeight="1" x14ac:dyDescent="0.2">
      <c r="A24" s="122" t="s">
        <v>119</v>
      </c>
      <c r="B24" s="123">
        <v>0.34599999999999997</v>
      </c>
      <c r="C24" s="123">
        <v>0.95</v>
      </c>
      <c r="D24" s="123">
        <v>2.06</v>
      </c>
    </row>
    <row r="25" spans="1:5" ht="15.75" customHeight="1" x14ac:dyDescent="0.2">
      <c r="A25" s="127" t="s">
        <v>77</v>
      </c>
      <c r="B25" s="126">
        <v>0</v>
      </c>
      <c r="C25" s="126">
        <v>0.85</v>
      </c>
      <c r="D25" s="126">
        <v>1.78</v>
      </c>
    </row>
    <row r="26" spans="1:5" ht="15.75" customHeight="1" x14ac:dyDescent="0.2">
      <c r="A26" s="127" t="s">
        <v>139</v>
      </c>
      <c r="B26" s="126">
        <v>0</v>
      </c>
      <c r="C26" s="126">
        <v>0.85</v>
      </c>
      <c r="D26" s="126">
        <v>1.78</v>
      </c>
    </row>
    <row r="27" spans="1:5" ht="15.75" customHeight="1" x14ac:dyDescent="0.2">
      <c r="A27" s="128" t="s">
        <v>97</v>
      </c>
      <c r="B27" s="123">
        <v>0.80800000000000005</v>
      </c>
      <c r="C27" s="123">
        <v>0.95</v>
      </c>
      <c r="D27" s="123">
        <v>0.05</v>
      </c>
    </row>
    <row r="28" spans="1:5" ht="15.75" customHeight="1" x14ac:dyDescent="0.15">
      <c r="A28" s="4" t="s">
        <v>81</v>
      </c>
      <c r="B28" s="14">
        <v>0</v>
      </c>
      <c r="C28" s="14">
        <v>0.95</v>
      </c>
      <c r="D28" s="18">
        <v>0.13</v>
      </c>
      <c r="E28" s="4"/>
    </row>
    <row r="29" spans="1:5" ht="15.75" customHeight="1" x14ac:dyDescent="0.2">
      <c r="A29" s="127" t="s">
        <v>82</v>
      </c>
      <c r="B29" s="126">
        <v>0</v>
      </c>
      <c r="C29" s="126">
        <v>0</v>
      </c>
      <c r="D29" s="126">
        <v>0.74</v>
      </c>
    </row>
    <row r="30" spans="1:5" ht="15.75" customHeight="1" x14ac:dyDescent="0.2">
      <c r="A30" s="127" t="s">
        <v>80</v>
      </c>
      <c r="B30" s="126">
        <v>0</v>
      </c>
      <c r="C30" s="126">
        <v>0</v>
      </c>
      <c r="D30" s="126">
        <v>0.18</v>
      </c>
    </row>
    <row r="31" spans="1:5" ht="15.75" customHeight="1" x14ac:dyDescent="0.2">
      <c r="A31" s="128" t="s">
        <v>78</v>
      </c>
      <c r="B31" s="123">
        <v>0.50800000000000001</v>
      </c>
      <c r="C31" s="123">
        <v>0.95</v>
      </c>
      <c r="D31" s="129">
        <v>2.61</v>
      </c>
    </row>
    <row r="32" spans="1:5" ht="15.75" customHeight="1" x14ac:dyDescent="0.2">
      <c r="A32" s="127" t="s">
        <v>266</v>
      </c>
      <c r="B32" s="125">
        <v>0</v>
      </c>
      <c r="C32" s="126">
        <v>0.85</v>
      </c>
      <c r="D32" s="126">
        <v>11</v>
      </c>
    </row>
    <row r="33" spans="1:4" ht="15.75" customHeight="1" x14ac:dyDescent="0.2">
      <c r="A33" s="127" t="s">
        <v>265</v>
      </c>
      <c r="B33" s="125">
        <v>0</v>
      </c>
      <c r="C33" s="126">
        <v>0.85</v>
      </c>
      <c r="D33" s="126">
        <v>11</v>
      </c>
    </row>
    <row r="34" spans="1:4" ht="15.75" customHeight="1" x14ac:dyDescent="0.2">
      <c r="A34" s="127" t="s">
        <v>135</v>
      </c>
      <c r="B34" s="126">
        <v>0</v>
      </c>
      <c r="C34" s="126">
        <v>0.85</v>
      </c>
      <c r="D34" s="126">
        <v>2.99</v>
      </c>
    </row>
    <row r="35" spans="1:4" ht="15.75" customHeight="1" x14ac:dyDescent="0.2">
      <c r="A35" s="130" t="s">
        <v>138</v>
      </c>
      <c r="B35" s="123">
        <v>0.3538</v>
      </c>
      <c r="C35" s="123">
        <v>0.95</v>
      </c>
      <c r="D35" s="123">
        <v>3.78</v>
      </c>
    </row>
    <row r="36" spans="1:4" ht="15.75" customHeight="1" x14ac:dyDescent="0.2">
      <c r="A36" s="127" t="s">
        <v>262</v>
      </c>
      <c r="B36" s="125">
        <v>0</v>
      </c>
      <c r="C36" s="126">
        <v>0.85</v>
      </c>
      <c r="D36" s="126">
        <v>23.84</v>
      </c>
    </row>
    <row r="37" spans="1:4" ht="15.75" customHeight="1" x14ac:dyDescent="0.2">
      <c r="A37" s="128" t="s">
        <v>127</v>
      </c>
      <c r="B37" s="123">
        <v>0</v>
      </c>
      <c r="C37" s="123">
        <v>0.95</v>
      </c>
      <c r="D37" s="123">
        <v>48</v>
      </c>
    </row>
    <row r="38" spans="1:4" ht="15.75" customHeight="1" x14ac:dyDescent="0.2">
      <c r="A38" s="127" t="s">
        <v>75</v>
      </c>
      <c r="B38" s="126">
        <v>0</v>
      </c>
      <c r="C38" s="126">
        <v>0.85</v>
      </c>
      <c r="D38" s="126">
        <v>50</v>
      </c>
    </row>
    <row r="39" spans="1:4" ht="15.75" customHeight="1" x14ac:dyDescent="0.2">
      <c r="A39" s="127" t="s">
        <v>136</v>
      </c>
      <c r="B39" s="126">
        <v>0</v>
      </c>
      <c r="C39" s="126">
        <v>0.85</v>
      </c>
      <c r="D39" s="126">
        <v>51</v>
      </c>
    </row>
    <row r="40" spans="1:4" ht="15.75" customHeight="1" x14ac:dyDescent="0.2">
      <c r="A40" s="127" t="s">
        <v>74</v>
      </c>
      <c r="B40" s="126">
        <v>0</v>
      </c>
      <c r="C40" s="126">
        <v>0.85</v>
      </c>
      <c r="D40" s="126">
        <v>4.6500000000000004</v>
      </c>
    </row>
    <row r="41" spans="1:4" ht="15.75" customHeight="1" x14ac:dyDescent="0.2">
      <c r="A41" s="131" t="s">
        <v>137</v>
      </c>
      <c r="B41" s="123">
        <v>0.1</v>
      </c>
      <c r="C41" s="123">
        <v>0.95</v>
      </c>
      <c r="D41" s="123">
        <v>4.6500000000000004</v>
      </c>
    </row>
    <row r="42" spans="1:4" ht="15.75" customHeight="1" x14ac:dyDescent="0.2">
      <c r="A42" s="128" t="s">
        <v>151</v>
      </c>
      <c r="B42" s="123">
        <v>0</v>
      </c>
      <c r="C42" s="123">
        <v>0.95</v>
      </c>
      <c r="D42" s="129">
        <f>40*AVERAGE('Incidence of conditions'!B5:F5)</f>
        <v>4.7195394035926403</v>
      </c>
    </row>
    <row r="43" spans="1:4" ht="15.75" customHeight="1" x14ac:dyDescent="0.2">
      <c r="A43" s="128" t="s">
        <v>152</v>
      </c>
      <c r="B43" s="123">
        <v>0</v>
      </c>
      <c r="C43" s="123">
        <v>0.95</v>
      </c>
      <c r="D43" s="129">
        <f>90*AVERAGE('Incidence of conditions'!B6:F6)</f>
        <v>5.2956558655829511</v>
      </c>
    </row>
    <row r="44" spans="1:4" ht="15.75" customHeight="1" x14ac:dyDescent="0.2">
      <c r="A44" s="128" t="s">
        <v>47</v>
      </c>
      <c r="B44" s="123">
        <v>0.89970000000000006</v>
      </c>
      <c r="C44" s="123">
        <v>0.95</v>
      </c>
      <c r="D44" s="123">
        <v>0.41</v>
      </c>
    </row>
    <row r="45" spans="1:4" ht="15.75" customHeight="1" x14ac:dyDescent="0.2">
      <c r="A45" s="122" t="s">
        <v>261</v>
      </c>
      <c r="B45" s="132">
        <v>0.80700000000000005</v>
      </c>
      <c r="C45" s="123">
        <v>0.95</v>
      </c>
      <c r="D45" s="123">
        <v>0.9</v>
      </c>
    </row>
    <row r="46" spans="1:4" ht="15.75" customHeight="1" x14ac:dyDescent="0.2">
      <c r="A46" s="122" t="s">
        <v>260</v>
      </c>
      <c r="B46" s="132">
        <v>0.73199999999999998</v>
      </c>
      <c r="C46" s="123">
        <v>0.95</v>
      </c>
      <c r="D46" s="123">
        <v>0.9</v>
      </c>
    </row>
    <row r="47" spans="1:4" ht="15.75" customHeight="1" x14ac:dyDescent="0.2">
      <c r="A47" s="122" t="s">
        <v>259</v>
      </c>
      <c r="B47" s="132">
        <v>0.316</v>
      </c>
      <c r="C47" s="123">
        <v>0.95</v>
      </c>
      <c r="D47" s="123">
        <v>79</v>
      </c>
    </row>
    <row r="48" spans="1:4" ht="15.75" customHeight="1" x14ac:dyDescent="0.2">
      <c r="A48" s="122" t="s">
        <v>257</v>
      </c>
      <c r="B48" s="132">
        <v>0.59699999999999998</v>
      </c>
      <c r="C48" s="123">
        <v>0.95</v>
      </c>
      <c r="D48" s="123">
        <v>31</v>
      </c>
    </row>
    <row r="49" spans="1:4" ht="15.75" customHeight="1" x14ac:dyDescent="0.2">
      <c r="A49" s="122" t="s">
        <v>258</v>
      </c>
      <c r="B49" s="132">
        <v>0.19900000000000001</v>
      </c>
      <c r="C49" s="123">
        <v>0.95</v>
      </c>
      <c r="D49" s="123">
        <v>102</v>
      </c>
    </row>
    <row r="50" spans="1:4" ht="15.75" customHeight="1" x14ac:dyDescent="0.2">
      <c r="A50" s="122" t="s">
        <v>263</v>
      </c>
      <c r="B50" s="132">
        <v>0.13400000000000001</v>
      </c>
      <c r="C50" s="123">
        <v>0.95</v>
      </c>
      <c r="D50" s="129">
        <v>5.53</v>
      </c>
    </row>
    <row r="51" spans="1:4" ht="15.75" customHeight="1" x14ac:dyDescent="0.2">
      <c r="A51" s="127" t="s">
        <v>140</v>
      </c>
      <c r="B51" s="126">
        <v>0</v>
      </c>
      <c r="C51" s="126">
        <v>0.85</v>
      </c>
      <c r="D51" s="126">
        <v>4</v>
      </c>
    </row>
    <row r="52" spans="1:4" s="11" customFormat="1" ht="15.75" customHeight="1" x14ac:dyDescent="0.2">
      <c r="A52" s="122" t="s">
        <v>161</v>
      </c>
      <c r="B52" s="143">
        <v>0</v>
      </c>
      <c r="C52" s="29">
        <v>0.95</v>
      </c>
      <c r="D52" s="142" t="s">
        <v>270</v>
      </c>
    </row>
    <row r="53" spans="1:4" ht="15.75" customHeight="1" x14ac:dyDescent="0.2">
      <c r="A53" s="122" t="s">
        <v>162</v>
      </c>
      <c r="B53" s="140">
        <v>0</v>
      </c>
      <c r="C53" s="141">
        <v>0.95</v>
      </c>
      <c r="D53" s="142" t="s">
        <v>270</v>
      </c>
    </row>
    <row r="54" spans="1:4" ht="15.75" customHeight="1" x14ac:dyDescent="0.2">
      <c r="A54" s="122" t="s">
        <v>163</v>
      </c>
      <c r="B54" s="140">
        <v>0</v>
      </c>
      <c r="C54" s="141">
        <v>0.95</v>
      </c>
      <c r="D54" s="142" t="s">
        <v>270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9C65-1200-044E-9799-D4D48ED0657E}">
  <dimension ref="A1:K32"/>
  <sheetViews>
    <sheetView workbookViewId="0"/>
  </sheetViews>
  <sheetFormatPr baseColWidth="10" defaultRowHeight="13" x14ac:dyDescent="0.15"/>
  <cols>
    <col min="1" max="1" width="12.5" bestFit="1" customWidth="1"/>
    <col min="2" max="2" width="15.6640625" bestFit="1" customWidth="1"/>
    <col min="3" max="11" width="7.1640625" bestFit="1" customWidth="1"/>
  </cols>
  <sheetData>
    <row r="1" spans="1:11" s="10" customFormat="1" x14ac:dyDescent="0.15">
      <c r="A1" s="10" t="s">
        <v>289</v>
      </c>
      <c r="B1" s="10" t="s">
        <v>193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82">
        <f>SUM(Distributions!$C$4:$C$5)</f>
        <v>0.13300000000000001</v>
      </c>
      <c r="D2" s="82">
        <f>SUM(Distributions!$C$4:$C$5)</f>
        <v>0.13300000000000001</v>
      </c>
      <c r="E2" s="82">
        <f>SUM(Distributions!$C$4:$C$5)</f>
        <v>0.13300000000000001</v>
      </c>
      <c r="F2" s="82">
        <f>SUM(Distributions!$C$4:$C$5)</f>
        <v>0.13300000000000001</v>
      </c>
      <c r="G2" s="82">
        <f>SUM(Distributions!$C$4:$C$5)</f>
        <v>0.13300000000000001</v>
      </c>
      <c r="H2" s="82">
        <f>SUM(Distributions!$C$4:$C$5)</f>
        <v>0.13300000000000001</v>
      </c>
      <c r="I2" s="82">
        <f>SUM(Distributions!$C$4:$C$5)</f>
        <v>0.13300000000000001</v>
      </c>
      <c r="J2" s="82">
        <f>SUM(Distributions!$C$4:$C$5)</f>
        <v>0.13300000000000001</v>
      </c>
      <c r="K2" s="82">
        <f>SUM(Distributions!$C$4:$C$5)</f>
        <v>0.13300000000000001</v>
      </c>
    </row>
    <row r="3" spans="1:11" x14ac:dyDescent="0.15">
      <c r="B3" s="10" t="s">
        <v>7</v>
      </c>
      <c r="C3" s="82">
        <f>SUM(Distributions!D$4:D$5)</f>
        <v>0.13300000000000001</v>
      </c>
      <c r="D3" s="82">
        <f>SUM(Distributions!D$4:D$5)</f>
        <v>0.13300000000000001</v>
      </c>
      <c r="E3" s="82">
        <f>SUM(Distributions!D$4:D$5)</f>
        <v>0.13300000000000001</v>
      </c>
      <c r="F3" s="82">
        <f>SUM(Distributions!D$4:D$5)</f>
        <v>0.13300000000000001</v>
      </c>
      <c r="G3" s="82">
        <f>SUM(Distributions!D$4:D$5)</f>
        <v>0.13300000000000001</v>
      </c>
      <c r="H3" s="82">
        <f>SUM(Distributions!D$4:D$5)</f>
        <v>0.13300000000000001</v>
      </c>
      <c r="I3" s="82">
        <f>SUM(Distributions!D$4:D$5)</f>
        <v>0.13300000000000001</v>
      </c>
      <c r="J3" s="82">
        <f>SUM(Distributions!D$4:D$5)</f>
        <v>0.13300000000000001</v>
      </c>
      <c r="K3" s="82">
        <f>SUM(Distributions!D$4:D$5)</f>
        <v>0.13300000000000001</v>
      </c>
    </row>
    <row r="4" spans="1:11" x14ac:dyDescent="0.15">
      <c r="B4" s="10" t="s">
        <v>8</v>
      </c>
      <c r="C4" s="82">
        <f>SUM(Distributions!E$4:E$5)</f>
        <v>0.19108504098360654</v>
      </c>
      <c r="D4" s="82">
        <f>SUM(Distributions!E$4:E$5)</f>
        <v>0.19108504098360654</v>
      </c>
      <c r="E4" s="82">
        <f>SUM(Distributions!E$4:E$5)</f>
        <v>0.19108504098360654</v>
      </c>
      <c r="F4" s="82">
        <f>SUM(Distributions!E$4:E$5)</f>
        <v>0.19108504098360654</v>
      </c>
      <c r="G4" s="82">
        <f>SUM(Distributions!E$4:E$5)</f>
        <v>0.19108504098360654</v>
      </c>
      <c r="H4" s="82">
        <f>SUM(Distributions!E$4:E$5)</f>
        <v>0.19108504098360654</v>
      </c>
      <c r="I4" s="82">
        <f>SUM(Distributions!E$4:E$5)</f>
        <v>0.19108504098360654</v>
      </c>
      <c r="J4" s="82">
        <f>SUM(Distributions!E$4:E$5)</f>
        <v>0.19108504098360654</v>
      </c>
      <c r="K4" s="82">
        <f>SUM(Distributions!E$4:E$5)</f>
        <v>0.19108504098360654</v>
      </c>
    </row>
    <row r="5" spans="1:11" x14ac:dyDescent="0.15">
      <c r="B5" s="10" t="s">
        <v>9</v>
      </c>
      <c r="C5" s="82">
        <f>SUM(Distributions!F$4:F$5)</f>
        <v>0.37891670566214319</v>
      </c>
      <c r="D5" s="82">
        <f>SUM(Distributions!F$4:F$5)</f>
        <v>0.37891670566214319</v>
      </c>
      <c r="E5" s="82">
        <f>SUM(Distributions!F$4:F$5)</f>
        <v>0.37891670566214319</v>
      </c>
      <c r="F5" s="82">
        <f>SUM(Distributions!F$4:F$5)</f>
        <v>0.37891670566214319</v>
      </c>
      <c r="G5" s="82">
        <f>SUM(Distributions!F$4:F$5)</f>
        <v>0.37891670566214319</v>
      </c>
      <c r="H5" s="82">
        <f>SUM(Distributions!F$4:F$5)</f>
        <v>0.37891670566214319</v>
      </c>
      <c r="I5" s="82">
        <f>SUM(Distributions!F$4:F$5)</f>
        <v>0.37891670566214319</v>
      </c>
      <c r="J5" s="82">
        <f>SUM(Distributions!F$4:F$5)</f>
        <v>0.37891670566214319</v>
      </c>
      <c r="K5" s="82">
        <f>SUM(Distributions!F$4:F$5)</f>
        <v>0.37891670566214319</v>
      </c>
    </row>
    <row r="6" spans="1:11" x14ac:dyDescent="0.15">
      <c r="B6" s="10" t="s">
        <v>10</v>
      </c>
      <c r="C6" s="82">
        <f>SUM(Distributions!G$4:G$5)</f>
        <v>0.39358559498956158</v>
      </c>
      <c r="D6" s="82">
        <f>SUM(Distributions!G$4:G$5)</f>
        <v>0.39358559498956158</v>
      </c>
      <c r="E6" s="82">
        <f>SUM(Distributions!G$4:G$5)</f>
        <v>0.39358559498956158</v>
      </c>
      <c r="F6" s="82">
        <f>SUM(Distributions!G$4:G$5)</f>
        <v>0.39358559498956158</v>
      </c>
      <c r="G6" s="82">
        <f>SUM(Distributions!G$4:G$5)</f>
        <v>0.39358559498956158</v>
      </c>
      <c r="H6" s="82">
        <f>SUM(Distributions!G$4:G$5)</f>
        <v>0.39358559498956158</v>
      </c>
      <c r="I6" s="82">
        <f>SUM(Distributions!G$4:G$5)</f>
        <v>0.39358559498956158</v>
      </c>
      <c r="J6" s="82">
        <f>SUM(Distributions!G$4:G$5)</f>
        <v>0.39358559498956158</v>
      </c>
      <c r="K6" s="82">
        <f>SUM(Distributions!G$4:G$5)</f>
        <v>0.39358559498956158</v>
      </c>
    </row>
    <row r="8" spans="1:11" x14ac:dyDescent="0.15">
      <c r="A8" s="10" t="s">
        <v>27</v>
      </c>
      <c r="B8" s="10" t="s">
        <v>6</v>
      </c>
      <c r="K8" s="82">
        <f>SUM(Distributions!C10:C11)</f>
        <v>9.4E-2</v>
      </c>
    </row>
    <row r="9" spans="1:11" x14ac:dyDescent="0.15">
      <c r="B9" s="10" t="s">
        <v>7</v>
      </c>
      <c r="K9" s="82">
        <f>SUM(Distributions!D10:D11)</f>
        <v>9.4E-2</v>
      </c>
    </row>
    <row r="10" spans="1:11" x14ac:dyDescent="0.15">
      <c r="B10" s="10" t="s">
        <v>8</v>
      </c>
      <c r="K10" s="82">
        <f>SUM(Distributions!E10:E11)</f>
        <v>6.9747692307692316E-2</v>
      </c>
    </row>
    <row r="11" spans="1:11" x14ac:dyDescent="0.15">
      <c r="B11" s="10" t="s">
        <v>9</v>
      </c>
      <c r="K11" s="82">
        <f>SUM(Distributions!F10:F11)</f>
        <v>5.2643124415341441E-2</v>
      </c>
    </row>
    <row r="12" spans="1:11" x14ac:dyDescent="0.15">
      <c r="B12" s="10" t="s">
        <v>10</v>
      </c>
      <c r="K12" s="82">
        <f>SUM(Distributions!G10:G11)</f>
        <v>2.9665156004880597E-2</v>
      </c>
    </row>
    <row r="14" spans="1:11" x14ac:dyDescent="0.15">
      <c r="A14" s="10" t="s">
        <v>204</v>
      </c>
      <c r="B14" s="10" t="s">
        <v>6</v>
      </c>
      <c r="K14" s="82">
        <f>'Prevalence of anaemia'!C3</f>
        <v>0.05</v>
      </c>
    </row>
    <row r="15" spans="1:11" x14ac:dyDescent="0.15">
      <c r="B15" s="10" t="s">
        <v>7</v>
      </c>
      <c r="K15" s="82">
        <f>'Prevalence of anaemia'!D3</f>
        <v>0.05</v>
      </c>
    </row>
    <row r="16" spans="1:11" x14ac:dyDescent="0.15">
      <c r="B16" s="10" t="s">
        <v>8</v>
      </c>
      <c r="K16" s="82">
        <f>'Prevalence of anaemia'!E3</f>
        <v>0.32801999999999998</v>
      </c>
    </row>
    <row r="17" spans="1:11" x14ac:dyDescent="0.15">
      <c r="B17" s="10" t="s">
        <v>9</v>
      </c>
      <c r="K17" s="82">
        <f>'Prevalence of anaemia'!F3</f>
        <v>0.30639</v>
      </c>
    </row>
    <row r="18" spans="1:11" x14ac:dyDescent="0.15">
      <c r="B18" s="10" t="s">
        <v>10</v>
      </c>
      <c r="K18" s="82">
        <f>'Prevalence of anaemia'!G3</f>
        <v>0.20314000000000002</v>
      </c>
    </row>
    <row r="19" spans="1:11" x14ac:dyDescent="0.15">
      <c r="B19" s="10" t="s">
        <v>115</v>
      </c>
      <c r="K19" s="82">
        <f>'Prevalence of anaemia'!H3</f>
        <v>0.19865999999999998</v>
      </c>
    </row>
    <row r="20" spans="1:11" x14ac:dyDescent="0.15">
      <c r="B20" s="10" t="s">
        <v>116</v>
      </c>
      <c r="K20" s="82">
        <f>'Prevalence of anaemia'!I3</f>
        <v>0.18773999999999999</v>
      </c>
    </row>
    <row r="21" spans="1:11" x14ac:dyDescent="0.15">
      <c r="B21" s="10" t="s">
        <v>117</v>
      </c>
      <c r="K21" s="82">
        <f>'Prevalence of anaemia'!J3</f>
        <v>0.18185999999999999</v>
      </c>
    </row>
    <row r="22" spans="1:11" x14ac:dyDescent="0.15">
      <c r="B22" s="10" t="s">
        <v>118</v>
      </c>
      <c r="K22" s="82">
        <f>'Prevalence of anaemia'!K3</f>
        <v>0.18564</v>
      </c>
    </row>
    <row r="23" spans="1:11" x14ac:dyDescent="0.15">
      <c r="B23" s="10" t="s">
        <v>111</v>
      </c>
      <c r="K23" s="82">
        <f>'Prevalence of anaemia'!L3</f>
        <v>0.19865999999999998</v>
      </c>
    </row>
    <row r="24" spans="1:11" x14ac:dyDescent="0.15">
      <c r="B24" s="10" t="s">
        <v>112</v>
      </c>
      <c r="K24" s="82">
        <f>'Prevalence of anaemia'!M3</f>
        <v>0.18773999999999999</v>
      </c>
    </row>
    <row r="25" spans="1:11" x14ac:dyDescent="0.15">
      <c r="B25" s="10" t="s">
        <v>113</v>
      </c>
      <c r="K25" s="82">
        <f>'Prevalence of anaemia'!N3</f>
        <v>0.18185999999999999</v>
      </c>
    </row>
    <row r="26" spans="1:11" x14ac:dyDescent="0.15">
      <c r="B26" s="10" t="s">
        <v>114</v>
      </c>
      <c r="K26" s="82">
        <f>'Prevalence of anaemia'!O3</f>
        <v>0.18564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5240D-F5E2-7843-8F74-E64484849FE7}">
  <dimension ref="A1:P107"/>
  <sheetViews>
    <sheetView workbookViewId="0"/>
  </sheetViews>
  <sheetFormatPr baseColWidth="10" defaultRowHeight="13" x14ac:dyDescent="0.15"/>
  <sheetData>
    <row r="1" spans="1:16" x14ac:dyDescent="0.15">
      <c r="A1" s="10" t="s">
        <v>203</v>
      </c>
      <c r="B1" s="10" t="s">
        <v>286</v>
      </c>
      <c r="C1" s="86">
        <f>'Baseline year demographics'!$C2+1</f>
        <v>2017</v>
      </c>
      <c r="D1" s="86">
        <f>C1+1</f>
        <v>2018</v>
      </c>
      <c r="E1" s="86">
        <f t="shared" ref="E1:P1" si="0">D1+1</f>
        <v>2019</v>
      </c>
      <c r="F1" s="86">
        <f t="shared" si="0"/>
        <v>2020</v>
      </c>
      <c r="G1" s="86">
        <f t="shared" si="0"/>
        <v>2021</v>
      </c>
      <c r="H1" s="86">
        <f t="shared" si="0"/>
        <v>2022</v>
      </c>
      <c r="I1" s="86">
        <f t="shared" si="0"/>
        <v>2023</v>
      </c>
      <c r="J1" s="86">
        <f t="shared" si="0"/>
        <v>2024</v>
      </c>
      <c r="K1" s="86">
        <f t="shared" si="0"/>
        <v>2025</v>
      </c>
      <c r="L1" s="86">
        <f t="shared" si="0"/>
        <v>2026</v>
      </c>
      <c r="M1" s="86">
        <f t="shared" si="0"/>
        <v>2027</v>
      </c>
      <c r="N1" s="86">
        <f t="shared" si="0"/>
        <v>2028</v>
      </c>
      <c r="O1" s="86">
        <f t="shared" si="0"/>
        <v>2029</v>
      </c>
      <c r="P1" s="86">
        <f t="shared" si="0"/>
        <v>2030</v>
      </c>
    </row>
    <row r="2" spans="1:16" x14ac:dyDescent="0.15">
      <c r="A2" t="str">
        <f>'Programs to include'!A2</f>
        <v>Balanced energy-protein supplementation</v>
      </c>
      <c r="B2" s="133" t="s">
        <v>287</v>
      </c>
      <c r="C2" s="34"/>
    </row>
    <row r="3" spans="1:16" x14ac:dyDescent="0.15">
      <c r="A3" t="str">
        <f>A2</f>
        <v>Balanced energy-protein supplementation</v>
      </c>
      <c r="B3" s="133" t="s">
        <v>288</v>
      </c>
      <c r="C3" s="34"/>
    </row>
    <row r="4" spans="1:16" x14ac:dyDescent="0.15">
      <c r="A4" t="str">
        <f>'Programs to include'!A3</f>
        <v>Birth age program</v>
      </c>
      <c r="B4" s="133" t="s">
        <v>287</v>
      </c>
      <c r="C4" s="34"/>
    </row>
    <row r="5" spans="1:16" x14ac:dyDescent="0.15">
      <c r="A5" t="str">
        <f>A4</f>
        <v>Birth age program</v>
      </c>
      <c r="B5" s="133" t="s">
        <v>288</v>
      </c>
      <c r="C5" s="34"/>
    </row>
    <row r="6" spans="1:16" x14ac:dyDescent="0.15">
      <c r="A6" t="str">
        <f>'Programs to include'!A4</f>
        <v>Calcium supplementation</v>
      </c>
      <c r="B6" s="133" t="s">
        <v>287</v>
      </c>
      <c r="C6" s="34"/>
    </row>
    <row r="7" spans="1:16" x14ac:dyDescent="0.15">
      <c r="A7" t="str">
        <f>A6</f>
        <v>Calcium supplementation</v>
      </c>
      <c r="B7" s="133" t="s">
        <v>288</v>
      </c>
      <c r="C7" s="34"/>
    </row>
    <row r="8" spans="1:16" x14ac:dyDescent="0.15">
      <c r="A8" t="str">
        <f>'Programs to include'!A5</f>
        <v>Cash transfers</v>
      </c>
      <c r="B8" s="133" t="s">
        <v>287</v>
      </c>
      <c r="C8" s="34"/>
    </row>
    <row r="9" spans="1:16" x14ac:dyDescent="0.15">
      <c r="A9" t="str">
        <f>A8</f>
        <v>Cash transfers</v>
      </c>
      <c r="B9" s="133" t="s">
        <v>288</v>
      </c>
      <c r="C9" s="34"/>
    </row>
    <row r="10" spans="1:16" x14ac:dyDescent="0.15">
      <c r="A10" t="str">
        <f>'Programs to include'!A6</f>
        <v>Family Planning</v>
      </c>
      <c r="B10" s="133" t="s">
        <v>287</v>
      </c>
      <c r="C10" s="34"/>
    </row>
    <row r="11" spans="1:16" x14ac:dyDescent="0.15">
      <c r="A11" t="str">
        <f>A10</f>
        <v>Family Planning</v>
      </c>
      <c r="B11" s="133" t="s">
        <v>288</v>
      </c>
      <c r="C11" s="34"/>
    </row>
    <row r="12" spans="1:16" x14ac:dyDescent="0.15">
      <c r="A12" t="str">
        <f>'Programs to include'!A7</f>
        <v>IFA fortification of maize</v>
      </c>
      <c r="B12" s="133" t="s">
        <v>287</v>
      </c>
      <c r="C12" s="34"/>
    </row>
    <row r="13" spans="1:16" x14ac:dyDescent="0.15">
      <c r="A13" t="str">
        <f>A12</f>
        <v>IFA fortification of maize</v>
      </c>
      <c r="B13" s="133" t="s">
        <v>288</v>
      </c>
      <c r="C13" s="34"/>
    </row>
    <row r="14" spans="1:16" x14ac:dyDescent="0.15">
      <c r="A14" t="str">
        <f>'Programs to include'!A8</f>
        <v>IFA fortification of rice</v>
      </c>
      <c r="B14" s="133" t="s">
        <v>287</v>
      </c>
      <c r="C14" s="34"/>
    </row>
    <row r="15" spans="1:16" x14ac:dyDescent="0.15">
      <c r="A15" t="str">
        <f>A14</f>
        <v>IFA fortification of rice</v>
      </c>
      <c r="B15" s="133" t="s">
        <v>288</v>
      </c>
      <c r="C15" s="34"/>
    </row>
    <row r="16" spans="1:16" x14ac:dyDescent="0.15">
      <c r="A16" t="str">
        <f>'Programs to include'!A9</f>
        <v>IFA fortification of wheat flour</v>
      </c>
      <c r="B16" s="133" t="s">
        <v>287</v>
      </c>
      <c r="C16" s="34"/>
    </row>
    <row r="17" spans="1:3" x14ac:dyDescent="0.15">
      <c r="A17" t="str">
        <f>A16</f>
        <v>IFA fortification of wheat flour</v>
      </c>
      <c r="B17" s="133" t="s">
        <v>288</v>
      </c>
      <c r="C17" s="34"/>
    </row>
    <row r="18" spans="1:3" x14ac:dyDescent="0.15">
      <c r="A18" t="str">
        <f>'Programs to include'!A10</f>
        <v>IFAS not poor: community</v>
      </c>
      <c r="B18" s="133" t="s">
        <v>287</v>
      </c>
      <c r="C18" s="34"/>
    </row>
    <row r="19" spans="1:3" x14ac:dyDescent="0.15">
      <c r="A19" t="str">
        <f>A18</f>
        <v>IFAS not poor: community</v>
      </c>
      <c r="B19" s="133" t="s">
        <v>288</v>
      </c>
      <c r="C19" s="34"/>
    </row>
    <row r="20" spans="1:3" x14ac:dyDescent="0.15">
      <c r="A20" t="str">
        <f>'Programs to include'!A11</f>
        <v>IFAS not poor: community (malaria area)</v>
      </c>
      <c r="B20" s="133" t="s">
        <v>287</v>
      </c>
      <c r="C20" s="34"/>
    </row>
    <row r="21" spans="1:3" x14ac:dyDescent="0.15">
      <c r="A21" t="str">
        <f>A20</f>
        <v>IFAS not poor: community (malaria area)</v>
      </c>
      <c r="B21" s="133" t="s">
        <v>288</v>
      </c>
      <c r="C21" s="34"/>
    </row>
    <row r="22" spans="1:3" x14ac:dyDescent="0.15">
      <c r="A22" t="str">
        <f>'Programs to include'!A12</f>
        <v>IFAS not poor: hospital</v>
      </c>
      <c r="B22" s="133" t="s">
        <v>287</v>
      </c>
      <c r="C22" s="34"/>
    </row>
    <row r="23" spans="1:3" x14ac:dyDescent="0.15">
      <c r="A23" t="str">
        <f>A22</f>
        <v>IFAS not poor: hospital</v>
      </c>
      <c r="B23" s="133" t="s">
        <v>288</v>
      </c>
      <c r="C23" s="34"/>
    </row>
    <row r="24" spans="1:3" x14ac:dyDescent="0.15">
      <c r="A24" t="str">
        <f>'Programs to include'!A13</f>
        <v>IFAS not poor: hospital (malaria area)</v>
      </c>
      <c r="B24" s="133" t="s">
        <v>287</v>
      </c>
      <c r="C24" s="34"/>
    </row>
    <row r="25" spans="1:3" x14ac:dyDescent="0.15">
      <c r="A25" t="str">
        <f>A24</f>
        <v>IFAS not poor: hospital (malaria area)</v>
      </c>
      <c r="B25" s="133" t="s">
        <v>288</v>
      </c>
      <c r="C25" s="34"/>
    </row>
    <row r="26" spans="1:3" x14ac:dyDescent="0.15">
      <c r="A26" t="str">
        <f>'Programs to include'!A14</f>
        <v>IFAS not poor: retailer</v>
      </c>
      <c r="B26" s="133" t="s">
        <v>287</v>
      </c>
      <c r="C26" s="34"/>
    </row>
    <row r="27" spans="1:3" x14ac:dyDescent="0.15">
      <c r="A27" t="str">
        <f>A26</f>
        <v>IFAS not poor: retailer</v>
      </c>
      <c r="B27" s="133" t="s">
        <v>288</v>
      </c>
      <c r="C27" s="34"/>
    </row>
    <row r="28" spans="1:3" x14ac:dyDescent="0.15">
      <c r="A28" t="str">
        <f>'Programs to include'!A15</f>
        <v>IFAS not poor: retailer (malaria area)</v>
      </c>
      <c r="B28" s="133" t="s">
        <v>287</v>
      </c>
      <c r="C28" s="34"/>
    </row>
    <row r="29" spans="1:3" x14ac:dyDescent="0.15">
      <c r="A29" t="str">
        <f>A28</f>
        <v>IFAS not poor: retailer (malaria area)</v>
      </c>
      <c r="B29" s="133" t="s">
        <v>288</v>
      </c>
      <c r="C29" s="34"/>
    </row>
    <row r="30" spans="1:3" x14ac:dyDescent="0.15">
      <c r="A30" t="str">
        <f>'Programs to include'!A16</f>
        <v>IFAS not poor: school</v>
      </c>
      <c r="B30" s="133" t="s">
        <v>287</v>
      </c>
      <c r="C30" s="34"/>
    </row>
    <row r="31" spans="1:3" x14ac:dyDescent="0.15">
      <c r="A31" t="str">
        <f>A30</f>
        <v>IFAS not poor: school</v>
      </c>
      <c r="B31" s="133" t="s">
        <v>288</v>
      </c>
      <c r="C31" s="34"/>
    </row>
    <row r="32" spans="1:3" x14ac:dyDescent="0.15">
      <c r="A32" t="str">
        <f>'Programs to include'!A17</f>
        <v>IFAS not poor: school (malaria area)</v>
      </c>
      <c r="B32" s="133" t="s">
        <v>287</v>
      </c>
      <c r="C32" s="34"/>
    </row>
    <row r="33" spans="1:3" x14ac:dyDescent="0.15">
      <c r="A33" t="str">
        <f>A32</f>
        <v>IFAS not poor: school (malaria area)</v>
      </c>
      <c r="B33" s="133" t="s">
        <v>288</v>
      </c>
      <c r="C33" s="34"/>
    </row>
    <row r="34" spans="1:3" x14ac:dyDescent="0.15">
      <c r="A34" t="str">
        <f>'Programs to include'!A18</f>
        <v>IFAS poor: community</v>
      </c>
      <c r="B34" s="133" t="s">
        <v>287</v>
      </c>
      <c r="C34" s="34"/>
    </row>
    <row r="35" spans="1:3" x14ac:dyDescent="0.15">
      <c r="A35" t="str">
        <f>A34</f>
        <v>IFAS poor: community</v>
      </c>
      <c r="B35" s="133" t="s">
        <v>288</v>
      </c>
      <c r="C35" s="34"/>
    </row>
    <row r="36" spans="1:3" x14ac:dyDescent="0.15">
      <c r="A36" t="str">
        <f>'Programs to include'!A19</f>
        <v>IFAS poor: community (malaria area)</v>
      </c>
      <c r="B36" s="133" t="s">
        <v>287</v>
      </c>
      <c r="C36" s="34"/>
    </row>
    <row r="37" spans="1:3" x14ac:dyDescent="0.15">
      <c r="A37" t="str">
        <f>A36</f>
        <v>IFAS poor: community (malaria area)</v>
      </c>
      <c r="B37" s="133" t="s">
        <v>288</v>
      </c>
      <c r="C37" s="34"/>
    </row>
    <row r="38" spans="1:3" x14ac:dyDescent="0.15">
      <c r="A38" t="str">
        <f>'Programs to include'!A20</f>
        <v>IFAS poor: hospital</v>
      </c>
      <c r="B38" s="133" t="s">
        <v>287</v>
      </c>
      <c r="C38" s="34"/>
    </row>
    <row r="39" spans="1:3" x14ac:dyDescent="0.15">
      <c r="A39" t="str">
        <f>A38</f>
        <v>IFAS poor: hospital</v>
      </c>
      <c r="B39" s="133" t="s">
        <v>288</v>
      </c>
      <c r="C39" s="34"/>
    </row>
    <row r="40" spans="1:3" x14ac:dyDescent="0.15">
      <c r="A40" t="str">
        <f>'Programs to include'!A21</f>
        <v>IFAS poor: hospital (malaria area)</v>
      </c>
      <c r="B40" s="133" t="s">
        <v>287</v>
      </c>
      <c r="C40" s="34"/>
    </row>
    <row r="41" spans="1:3" x14ac:dyDescent="0.15">
      <c r="A41" t="str">
        <f>A40</f>
        <v>IFAS poor: hospital (malaria area)</v>
      </c>
      <c r="B41" s="133" t="s">
        <v>288</v>
      </c>
      <c r="C41" s="34"/>
    </row>
    <row r="42" spans="1:3" x14ac:dyDescent="0.15">
      <c r="A42" t="str">
        <f>'Programs to include'!A22</f>
        <v>IFAS poor: school</v>
      </c>
      <c r="B42" s="133" t="s">
        <v>287</v>
      </c>
      <c r="C42" s="34"/>
    </row>
    <row r="43" spans="1:3" x14ac:dyDescent="0.15">
      <c r="A43" t="str">
        <f>A42</f>
        <v>IFAS poor: school</v>
      </c>
      <c r="B43" s="133" t="s">
        <v>288</v>
      </c>
      <c r="C43" s="34"/>
    </row>
    <row r="44" spans="1:3" x14ac:dyDescent="0.15">
      <c r="A44" t="str">
        <f>'Programs to include'!A23</f>
        <v>IFAS poor: school (malaria area)</v>
      </c>
      <c r="B44" s="133" t="s">
        <v>287</v>
      </c>
      <c r="C44" s="34"/>
    </row>
    <row r="45" spans="1:3" x14ac:dyDescent="0.15">
      <c r="A45" t="str">
        <f>A44</f>
        <v>IFAS poor: school (malaria area)</v>
      </c>
      <c r="B45" s="133" t="s">
        <v>288</v>
      </c>
      <c r="C45" s="34"/>
    </row>
    <row r="46" spans="1:3" x14ac:dyDescent="0.15">
      <c r="A46" t="str">
        <f>'Programs to include'!A24</f>
        <v>IPTp</v>
      </c>
      <c r="B46" s="133" t="s">
        <v>287</v>
      </c>
      <c r="C46" s="34"/>
    </row>
    <row r="47" spans="1:3" x14ac:dyDescent="0.15">
      <c r="A47" t="str">
        <f>A46</f>
        <v>IPTp</v>
      </c>
      <c r="B47" s="133" t="s">
        <v>288</v>
      </c>
      <c r="C47" s="34"/>
    </row>
    <row r="48" spans="1:3" x14ac:dyDescent="0.15">
      <c r="A48" t="str">
        <f>'Programs to include'!A25</f>
        <v>Iron and folic acid supplementation for pregnant women</v>
      </c>
      <c r="B48" s="133" t="s">
        <v>287</v>
      </c>
      <c r="C48" s="34"/>
    </row>
    <row r="49" spans="1:3" x14ac:dyDescent="0.15">
      <c r="A49" t="str">
        <f>A48</f>
        <v>Iron and folic acid supplementation for pregnant women</v>
      </c>
      <c r="B49" s="133" t="s">
        <v>288</v>
      </c>
      <c r="C49" s="34"/>
    </row>
    <row r="50" spans="1:3" x14ac:dyDescent="0.15">
      <c r="A50" t="str">
        <f>'Programs to include'!A26</f>
        <v>Iron and folic acid supplementation for pregnant women (malaria area)</v>
      </c>
      <c r="B50" s="133" t="s">
        <v>287</v>
      </c>
      <c r="C50" s="34"/>
    </row>
    <row r="51" spans="1:3" x14ac:dyDescent="0.15">
      <c r="A51" t="str">
        <f>A50</f>
        <v>Iron and folic acid supplementation for pregnant women (malaria area)</v>
      </c>
      <c r="B51" s="133" t="s">
        <v>288</v>
      </c>
      <c r="C51" s="34"/>
    </row>
    <row r="52" spans="1:3" x14ac:dyDescent="0.15">
      <c r="A52" t="str">
        <f>'Programs to include'!A27</f>
        <v>Iron and iodine fortification of salt</v>
      </c>
      <c r="B52" s="133" t="s">
        <v>287</v>
      </c>
      <c r="C52" s="34"/>
    </row>
    <row r="53" spans="1:3" x14ac:dyDescent="0.15">
      <c r="A53" t="str">
        <f>A52</f>
        <v>Iron and iodine fortification of salt</v>
      </c>
      <c r="B53" s="133" t="s">
        <v>288</v>
      </c>
      <c r="C53" s="34"/>
    </row>
    <row r="54" spans="1:3" x14ac:dyDescent="0.15">
      <c r="A54" t="str">
        <f>'Programs to include'!A28</f>
        <v>Iron fortification of maize</v>
      </c>
      <c r="B54" s="133" t="s">
        <v>287</v>
      </c>
      <c r="C54" s="34"/>
    </row>
    <row r="55" spans="1:3" x14ac:dyDescent="0.15">
      <c r="A55" t="str">
        <f>A54</f>
        <v>Iron fortification of maize</v>
      </c>
      <c r="B55" s="133" t="s">
        <v>288</v>
      </c>
      <c r="C55" s="34"/>
    </row>
    <row r="56" spans="1:3" x14ac:dyDescent="0.15">
      <c r="A56" t="str">
        <f>'Programs to include'!A29</f>
        <v>Iron fortification of rice</v>
      </c>
      <c r="B56" s="133" t="s">
        <v>287</v>
      </c>
      <c r="C56" s="34"/>
    </row>
    <row r="57" spans="1:3" x14ac:dyDescent="0.15">
      <c r="A57" t="str">
        <f>A56</f>
        <v>Iron fortification of rice</v>
      </c>
      <c r="B57" s="133" t="s">
        <v>288</v>
      </c>
      <c r="C57" s="34"/>
    </row>
    <row r="58" spans="1:3" x14ac:dyDescent="0.15">
      <c r="A58" t="str">
        <f>'Programs to include'!A30</f>
        <v>Iron fortification of wheat flour</v>
      </c>
      <c r="B58" s="133" t="s">
        <v>287</v>
      </c>
      <c r="C58" s="34"/>
    </row>
    <row r="59" spans="1:3" x14ac:dyDescent="0.15">
      <c r="A59" t="str">
        <f>A58</f>
        <v>Iron fortification of wheat flour</v>
      </c>
      <c r="B59" s="133" t="s">
        <v>288</v>
      </c>
      <c r="C59" s="34"/>
    </row>
    <row r="60" spans="1:3" x14ac:dyDescent="0.15">
      <c r="A60" t="str">
        <f>'Programs to include'!A31</f>
        <v>Long-lasting insecticide-treated bednets</v>
      </c>
      <c r="B60" s="133" t="s">
        <v>287</v>
      </c>
      <c r="C60" s="34"/>
    </row>
    <row r="61" spans="1:3" x14ac:dyDescent="0.15">
      <c r="A61" t="str">
        <f>A60</f>
        <v>Long-lasting insecticide-treated bednets</v>
      </c>
      <c r="B61" s="133" t="s">
        <v>288</v>
      </c>
      <c r="C61" s="34"/>
    </row>
    <row r="62" spans="1:3" x14ac:dyDescent="0.15">
      <c r="A62" t="str">
        <f>'Programs to include'!A32</f>
        <v>Mg for eclampsia</v>
      </c>
      <c r="B62" s="133" t="s">
        <v>287</v>
      </c>
      <c r="C62" s="34"/>
    </row>
    <row r="63" spans="1:3" x14ac:dyDescent="0.15">
      <c r="A63" t="str">
        <f>A62</f>
        <v>Mg for eclampsia</v>
      </c>
      <c r="B63" s="133" t="s">
        <v>288</v>
      </c>
      <c r="C63" s="34"/>
    </row>
    <row r="64" spans="1:3" x14ac:dyDescent="0.15">
      <c r="A64" t="str">
        <f>'Programs to include'!A33</f>
        <v>Mg for pre-eclampsia</v>
      </c>
      <c r="B64" s="133" t="s">
        <v>287</v>
      </c>
      <c r="C64" s="34"/>
    </row>
    <row r="65" spans="1:3" x14ac:dyDescent="0.15">
      <c r="A65" t="str">
        <f>A64</f>
        <v>Mg for pre-eclampsia</v>
      </c>
      <c r="B65" s="133" t="s">
        <v>288</v>
      </c>
      <c r="C65" s="34"/>
    </row>
    <row r="66" spans="1:3" x14ac:dyDescent="0.15">
      <c r="A66" t="str">
        <f>'Programs to include'!A34</f>
        <v>Multiple micronutrient supplementation</v>
      </c>
      <c r="B66" s="133" t="s">
        <v>287</v>
      </c>
      <c r="C66" s="34"/>
    </row>
    <row r="67" spans="1:3" x14ac:dyDescent="0.15">
      <c r="A67" t="str">
        <f>A66</f>
        <v>Multiple micronutrient supplementation</v>
      </c>
      <c r="B67" s="133" t="s">
        <v>288</v>
      </c>
      <c r="C67" s="34"/>
    </row>
    <row r="68" spans="1:3" x14ac:dyDescent="0.15">
      <c r="A68" t="str">
        <f>'Programs to include'!A35</f>
        <v>Multiple micronutrient supplementation (malaria area)</v>
      </c>
      <c r="B68" s="133" t="s">
        <v>287</v>
      </c>
      <c r="C68" s="34"/>
    </row>
    <row r="69" spans="1:3" x14ac:dyDescent="0.15">
      <c r="A69" t="str">
        <f>A68</f>
        <v>Multiple micronutrient supplementation (malaria area)</v>
      </c>
      <c r="B69" s="133" t="s">
        <v>288</v>
      </c>
      <c r="C69" s="34"/>
    </row>
    <row r="70" spans="1:3" x14ac:dyDescent="0.15">
      <c r="A70" t="str">
        <f>'Programs to include'!A36</f>
        <v>Oral rehydration salts</v>
      </c>
      <c r="B70" s="133" t="s">
        <v>287</v>
      </c>
      <c r="C70" s="34"/>
    </row>
    <row r="71" spans="1:3" x14ac:dyDescent="0.15">
      <c r="A71" t="str">
        <f>A70</f>
        <v>Oral rehydration salts</v>
      </c>
      <c r="B71" s="133" t="s">
        <v>288</v>
      </c>
      <c r="C71" s="34"/>
    </row>
    <row r="72" spans="1:3" x14ac:dyDescent="0.15">
      <c r="A72" t="str">
        <f>'Programs to include'!A37</f>
        <v>Public provision of complementary foods</v>
      </c>
      <c r="B72" s="133" t="s">
        <v>287</v>
      </c>
      <c r="C72" s="34"/>
    </row>
    <row r="73" spans="1:3" x14ac:dyDescent="0.15">
      <c r="A73" t="str">
        <f>A72</f>
        <v>Public provision of complementary foods</v>
      </c>
      <c r="B73" s="133" t="s">
        <v>288</v>
      </c>
      <c r="C73" s="34"/>
    </row>
    <row r="74" spans="1:3" x14ac:dyDescent="0.15">
      <c r="A74" t="str">
        <f>'Programs to include'!A38</f>
        <v>Public provision of complementary foods with iron</v>
      </c>
      <c r="B74" s="133" t="s">
        <v>287</v>
      </c>
      <c r="C74" s="34"/>
    </row>
    <row r="75" spans="1:3" x14ac:dyDescent="0.15">
      <c r="A75" t="str">
        <f>A74</f>
        <v>Public provision of complementary foods with iron</v>
      </c>
      <c r="B75" s="133" t="s">
        <v>288</v>
      </c>
      <c r="C75" s="34"/>
    </row>
    <row r="76" spans="1:3" x14ac:dyDescent="0.15">
      <c r="A76" t="str">
        <f>'Programs to include'!A39</f>
        <v>Public provision of complementary foods with iron (malaria area)</v>
      </c>
      <c r="B76" s="133" t="s">
        <v>287</v>
      </c>
      <c r="C76" s="34"/>
    </row>
    <row r="77" spans="1:3" x14ac:dyDescent="0.15">
      <c r="A77" t="str">
        <f>A76</f>
        <v>Public provision of complementary foods with iron (malaria area)</v>
      </c>
      <c r="B77" s="133" t="s">
        <v>288</v>
      </c>
      <c r="C77" s="34"/>
    </row>
    <row r="78" spans="1:3" x14ac:dyDescent="0.15">
      <c r="A78" t="str">
        <f>'Programs to include'!A40</f>
        <v>Sprinkles</v>
      </c>
      <c r="B78" s="133" t="s">
        <v>287</v>
      </c>
      <c r="C78" s="34"/>
    </row>
    <row r="79" spans="1:3" x14ac:dyDescent="0.15">
      <c r="A79" t="str">
        <f>A78</f>
        <v>Sprinkles</v>
      </c>
      <c r="B79" s="133" t="s">
        <v>288</v>
      </c>
      <c r="C79" s="34"/>
    </row>
    <row r="80" spans="1:3" x14ac:dyDescent="0.15">
      <c r="A80" t="str">
        <f>'Programs to include'!A41</f>
        <v>Sprinkles (malaria area)</v>
      </c>
      <c r="B80" s="133" t="s">
        <v>287</v>
      </c>
      <c r="C80" s="34"/>
    </row>
    <row r="81" spans="1:3" x14ac:dyDescent="0.15">
      <c r="A81" t="str">
        <f>A80</f>
        <v>Sprinkles (malaria area)</v>
      </c>
      <c r="B81" s="133" t="s">
        <v>288</v>
      </c>
      <c r="C81" s="34"/>
    </row>
    <row r="82" spans="1:3" x14ac:dyDescent="0.15">
      <c r="A82" t="str">
        <f>'Programs to include'!A42</f>
        <v>Treatment of MAM</v>
      </c>
      <c r="B82" s="133" t="s">
        <v>287</v>
      </c>
      <c r="C82" s="34"/>
    </row>
    <row r="83" spans="1:3" x14ac:dyDescent="0.15">
      <c r="A83" t="str">
        <f>A82</f>
        <v>Treatment of MAM</v>
      </c>
      <c r="B83" s="133" t="s">
        <v>288</v>
      </c>
      <c r="C83" s="34"/>
    </row>
    <row r="84" spans="1:3" x14ac:dyDescent="0.15">
      <c r="A84" t="str">
        <f>'Programs to include'!A43</f>
        <v>Treatment of SAM</v>
      </c>
      <c r="B84" s="133" t="s">
        <v>287</v>
      </c>
      <c r="C84" s="34"/>
    </row>
    <row r="85" spans="1:3" x14ac:dyDescent="0.15">
      <c r="A85" t="str">
        <f>A84</f>
        <v>Treatment of SAM</v>
      </c>
      <c r="B85" s="133" t="s">
        <v>288</v>
      </c>
      <c r="C85" s="34"/>
    </row>
    <row r="86" spans="1:3" x14ac:dyDescent="0.15">
      <c r="A86" t="str">
        <f>'Programs to include'!A44</f>
        <v>Vitamin A supplementation</v>
      </c>
      <c r="B86" s="133" t="s">
        <v>287</v>
      </c>
      <c r="C86" s="34"/>
    </row>
    <row r="87" spans="1:3" x14ac:dyDescent="0.15">
      <c r="A87" t="str">
        <f>A86</f>
        <v>Vitamin A supplementation</v>
      </c>
      <c r="B87" s="133" t="s">
        <v>288</v>
      </c>
      <c r="C87" s="34"/>
    </row>
    <row r="88" spans="1:3" x14ac:dyDescent="0.15">
      <c r="A88" t="str">
        <f>'Programs to include'!A45</f>
        <v>WASH: Handwashing</v>
      </c>
      <c r="B88" s="133" t="s">
        <v>287</v>
      </c>
      <c r="C88" s="34"/>
    </row>
    <row r="89" spans="1:3" x14ac:dyDescent="0.15">
      <c r="A89" t="str">
        <f>A88</f>
        <v>WASH: Handwashing</v>
      </c>
      <c r="B89" s="133" t="s">
        <v>288</v>
      </c>
      <c r="C89" s="34"/>
    </row>
    <row r="90" spans="1:3" x14ac:dyDescent="0.15">
      <c r="A90" t="str">
        <f>'Programs to include'!A46</f>
        <v>WASH: Hygenic disposal</v>
      </c>
      <c r="B90" s="133" t="s">
        <v>287</v>
      </c>
      <c r="C90" s="34"/>
    </row>
    <row r="91" spans="1:3" x14ac:dyDescent="0.15">
      <c r="A91" t="str">
        <f>A90</f>
        <v>WASH: Hygenic disposal</v>
      </c>
      <c r="B91" s="133" t="s">
        <v>288</v>
      </c>
      <c r="C91" s="34"/>
    </row>
    <row r="92" spans="1:3" x14ac:dyDescent="0.15">
      <c r="A92" t="str">
        <f>'Programs to include'!A47</f>
        <v>WASH: Improved sanitation</v>
      </c>
      <c r="B92" s="133" t="s">
        <v>287</v>
      </c>
      <c r="C92" s="34"/>
    </row>
    <row r="93" spans="1:3" x14ac:dyDescent="0.15">
      <c r="A93" t="str">
        <f>A92</f>
        <v>WASH: Improved sanitation</v>
      </c>
      <c r="B93" s="133" t="s">
        <v>288</v>
      </c>
      <c r="C93" s="34"/>
    </row>
    <row r="94" spans="1:3" x14ac:dyDescent="0.15">
      <c r="A94" t="str">
        <f>'Programs to include'!A48</f>
        <v>WASH: Improved water source</v>
      </c>
      <c r="B94" s="133" t="s">
        <v>287</v>
      </c>
      <c r="C94" s="34"/>
    </row>
    <row r="95" spans="1:3" x14ac:dyDescent="0.15">
      <c r="A95" t="str">
        <f>A94</f>
        <v>WASH: Improved water source</v>
      </c>
      <c r="B95" s="133" t="s">
        <v>288</v>
      </c>
      <c r="C95" s="34"/>
    </row>
    <row r="96" spans="1:3" x14ac:dyDescent="0.15">
      <c r="A96" t="str">
        <f>'Programs to include'!A49</f>
        <v>WASH: Piped water</v>
      </c>
      <c r="B96" s="133" t="s">
        <v>287</v>
      </c>
      <c r="C96" s="34"/>
    </row>
    <row r="97" spans="1:3" x14ac:dyDescent="0.15">
      <c r="A97" t="str">
        <f>A96</f>
        <v>WASH: Piped water</v>
      </c>
      <c r="B97" s="133" t="s">
        <v>288</v>
      </c>
      <c r="C97" s="34"/>
    </row>
    <row r="98" spans="1:3" x14ac:dyDescent="0.15">
      <c r="A98" t="str">
        <f>'Programs to include'!A50</f>
        <v>Zinc for treatment + ORS</v>
      </c>
      <c r="B98" s="133" t="s">
        <v>287</v>
      </c>
      <c r="C98" s="34"/>
    </row>
    <row r="99" spans="1:3" x14ac:dyDescent="0.15">
      <c r="A99" t="str">
        <f>A98</f>
        <v>Zinc for treatment + ORS</v>
      </c>
      <c r="B99" s="133" t="s">
        <v>288</v>
      </c>
      <c r="C99" s="34"/>
    </row>
    <row r="100" spans="1:3" x14ac:dyDescent="0.15">
      <c r="A100" t="str">
        <f>'Programs to include'!A51</f>
        <v>Zinc supplementation</v>
      </c>
      <c r="B100" s="133" t="s">
        <v>287</v>
      </c>
      <c r="C100" s="34"/>
    </row>
    <row r="101" spans="1:3" x14ac:dyDescent="0.15">
      <c r="A101" t="str">
        <f>A100</f>
        <v>Zinc supplementation</v>
      </c>
      <c r="B101" s="133" t="s">
        <v>288</v>
      </c>
      <c r="C101" s="34"/>
    </row>
    <row r="102" spans="1:3" x14ac:dyDescent="0.15">
      <c r="A102" t="str">
        <f>'Programs to include'!A52</f>
        <v>IYCF 1</v>
      </c>
      <c r="B102" s="133" t="s">
        <v>287</v>
      </c>
      <c r="C102" s="34"/>
    </row>
    <row r="103" spans="1:3" x14ac:dyDescent="0.15">
      <c r="A103" t="str">
        <f>A102</f>
        <v>IYCF 1</v>
      </c>
      <c r="B103" s="133" t="s">
        <v>288</v>
      </c>
      <c r="C103" s="34"/>
    </row>
    <row r="104" spans="1:3" x14ac:dyDescent="0.15">
      <c r="A104" t="str">
        <f>'Programs to include'!A53</f>
        <v>IYCF 2</v>
      </c>
      <c r="B104" s="133" t="s">
        <v>287</v>
      </c>
      <c r="C104" s="34"/>
    </row>
    <row r="105" spans="1:3" x14ac:dyDescent="0.15">
      <c r="A105" t="str">
        <f>A104</f>
        <v>IYCF 2</v>
      </c>
      <c r="B105" s="133" t="s">
        <v>288</v>
      </c>
      <c r="C105" s="34"/>
    </row>
    <row r="106" spans="1:3" x14ac:dyDescent="0.15">
      <c r="A106" t="str">
        <f>'Programs to include'!A54</f>
        <v>IYCF 3</v>
      </c>
      <c r="B106" s="133" t="s">
        <v>287</v>
      </c>
      <c r="C106" s="34"/>
    </row>
    <row r="107" spans="1:3" x14ac:dyDescent="0.15">
      <c r="A107" t="str">
        <f>A106</f>
        <v>IYCF 3</v>
      </c>
      <c r="B107" s="133" t="s">
        <v>288</v>
      </c>
      <c r="C107" s="34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9"/>
  <sheetViews>
    <sheetView workbookViewId="0"/>
  </sheetViews>
  <sheetFormatPr baseColWidth="10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203</v>
      </c>
      <c r="B1" s="10"/>
    </row>
    <row r="2" spans="1:2" x14ac:dyDescent="0.15">
      <c r="A2" t="s">
        <v>185</v>
      </c>
    </row>
    <row r="3" spans="1:2" x14ac:dyDescent="0.15">
      <c r="A3" t="s">
        <v>119</v>
      </c>
    </row>
    <row r="4" spans="1:2" x14ac:dyDescent="0.15">
      <c r="A4" s="4" t="s">
        <v>78</v>
      </c>
    </row>
    <row r="5" spans="1:2" x14ac:dyDescent="0.15">
      <c r="A5" t="s">
        <v>261</v>
      </c>
    </row>
    <row r="6" spans="1:2" x14ac:dyDescent="0.15">
      <c r="A6" t="s">
        <v>260</v>
      </c>
    </row>
    <row r="7" spans="1:2" x14ac:dyDescent="0.15">
      <c r="A7" t="s">
        <v>259</v>
      </c>
    </row>
    <row r="8" spans="1:2" x14ac:dyDescent="0.15">
      <c r="A8" t="s">
        <v>257</v>
      </c>
    </row>
    <row r="9" spans="1:2" x14ac:dyDescent="0.15">
      <c r="A9" t="s">
        <v>258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54"/>
  <sheetViews>
    <sheetView tabSelected="1" workbookViewId="0">
      <selection activeCell="A51" sqref="A51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10" t="s">
        <v>251</v>
      </c>
    </row>
    <row r="2" spans="1:2" x14ac:dyDescent="0.15">
      <c r="A2" t="s">
        <v>55</v>
      </c>
      <c r="B2" s="133" t="s">
        <v>165</v>
      </c>
    </row>
    <row r="3" spans="1:2" x14ac:dyDescent="0.15">
      <c r="A3" s="120" t="s">
        <v>268</v>
      </c>
      <c r="B3" s="133"/>
    </row>
    <row r="4" spans="1:2" x14ac:dyDescent="0.15">
      <c r="A4" s="4" t="s">
        <v>264</v>
      </c>
      <c r="B4" s="133" t="s">
        <v>165</v>
      </c>
    </row>
    <row r="5" spans="1:2" x14ac:dyDescent="0.15">
      <c r="A5" s="4" t="s">
        <v>143</v>
      </c>
      <c r="B5" s="133" t="s">
        <v>165</v>
      </c>
    </row>
    <row r="6" spans="1:2" x14ac:dyDescent="0.15">
      <c r="A6" t="s">
        <v>185</v>
      </c>
      <c r="B6" s="133" t="s">
        <v>165</v>
      </c>
    </row>
    <row r="7" spans="1:2" x14ac:dyDescent="0.15">
      <c r="A7" s="12" t="s">
        <v>145</v>
      </c>
      <c r="B7" s="133" t="s">
        <v>165</v>
      </c>
    </row>
    <row r="8" spans="1:2" x14ac:dyDescent="0.15">
      <c r="A8" s="12" t="s">
        <v>146</v>
      </c>
      <c r="B8" s="133"/>
    </row>
    <row r="9" spans="1:2" x14ac:dyDescent="0.15">
      <c r="A9" s="12" t="s">
        <v>144</v>
      </c>
      <c r="B9" s="133"/>
    </row>
    <row r="10" spans="1:2" x14ac:dyDescent="0.15">
      <c r="A10" t="s">
        <v>124</v>
      </c>
      <c r="B10" s="133"/>
    </row>
    <row r="11" spans="1:2" x14ac:dyDescent="0.15">
      <c r="A11" t="s">
        <v>132</v>
      </c>
      <c r="B11" s="133" t="s">
        <v>165</v>
      </c>
    </row>
    <row r="12" spans="1:2" x14ac:dyDescent="0.15">
      <c r="A12" t="s">
        <v>125</v>
      </c>
      <c r="B12" s="133"/>
    </row>
    <row r="13" spans="1:2" x14ac:dyDescent="0.15">
      <c r="A13" t="s">
        <v>133</v>
      </c>
      <c r="B13" s="133" t="s">
        <v>165</v>
      </c>
    </row>
    <row r="14" spans="1:2" x14ac:dyDescent="0.15">
      <c r="A14" t="s">
        <v>126</v>
      </c>
      <c r="B14" s="133"/>
    </row>
    <row r="15" spans="1:2" x14ac:dyDescent="0.15">
      <c r="A15" t="s">
        <v>134</v>
      </c>
      <c r="B15" s="133" t="s">
        <v>165</v>
      </c>
    </row>
    <row r="16" spans="1:2" x14ac:dyDescent="0.15">
      <c r="A16" t="s">
        <v>123</v>
      </c>
      <c r="B16" s="133"/>
    </row>
    <row r="17" spans="1:2" x14ac:dyDescent="0.15">
      <c r="A17" t="s">
        <v>131</v>
      </c>
      <c r="B17" s="133" t="s">
        <v>165</v>
      </c>
    </row>
    <row r="18" spans="1:2" x14ac:dyDescent="0.15">
      <c r="A18" t="s">
        <v>121</v>
      </c>
      <c r="B18" s="133"/>
    </row>
    <row r="19" spans="1:2" x14ac:dyDescent="0.15">
      <c r="A19" t="s">
        <v>129</v>
      </c>
      <c r="B19" s="133" t="s">
        <v>165</v>
      </c>
    </row>
    <row r="20" spans="1:2" x14ac:dyDescent="0.15">
      <c r="A20" t="s">
        <v>122</v>
      </c>
      <c r="B20" s="133"/>
    </row>
    <row r="21" spans="1:2" x14ac:dyDescent="0.15">
      <c r="A21" t="s">
        <v>130</v>
      </c>
      <c r="B21" s="133" t="s">
        <v>165</v>
      </c>
    </row>
    <row r="22" spans="1:2" x14ac:dyDescent="0.15">
      <c r="A22" t="s">
        <v>120</v>
      </c>
      <c r="B22" s="133"/>
    </row>
    <row r="23" spans="1:2" x14ac:dyDescent="0.15">
      <c r="A23" t="s">
        <v>128</v>
      </c>
      <c r="B23" s="133" t="s">
        <v>165</v>
      </c>
    </row>
    <row r="24" spans="1:2" x14ac:dyDescent="0.15">
      <c r="A24" t="s">
        <v>119</v>
      </c>
      <c r="B24" s="133" t="s">
        <v>165</v>
      </c>
    </row>
    <row r="25" spans="1:2" x14ac:dyDescent="0.15">
      <c r="A25" s="4" t="s">
        <v>77</v>
      </c>
      <c r="B25" s="133"/>
    </row>
    <row r="26" spans="1:2" x14ac:dyDescent="0.15">
      <c r="A26" s="4" t="s">
        <v>139</v>
      </c>
      <c r="B26" s="133" t="s">
        <v>165</v>
      </c>
    </row>
    <row r="27" spans="1:2" x14ac:dyDescent="0.15">
      <c r="A27" s="4" t="s">
        <v>97</v>
      </c>
      <c r="B27" s="133" t="s">
        <v>165</v>
      </c>
    </row>
    <row r="28" spans="1:2" x14ac:dyDescent="0.15">
      <c r="A28" s="4" t="s">
        <v>81</v>
      </c>
    </row>
    <row r="29" spans="1:2" x14ac:dyDescent="0.15">
      <c r="A29" s="4" t="s">
        <v>82</v>
      </c>
    </row>
    <row r="30" spans="1:2" x14ac:dyDescent="0.15">
      <c r="A30" s="4" t="s">
        <v>80</v>
      </c>
    </row>
    <row r="31" spans="1:2" x14ac:dyDescent="0.15">
      <c r="A31" s="4" t="s">
        <v>78</v>
      </c>
      <c r="B31" t="s">
        <v>165</v>
      </c>
    </row>
    <row r="32" spans="1:2" x14ac:dyDescent="0.15">
      <c r="A32" s="4" t="s">
        <v>266</v>
      </c>
      <c r="B32" t="s">
        <v>165</v>
      </c>
    </row>
    <row r="33" spans="1:2" x14ac:dyDescent="0.15">
      <c r="A33" s="4" t="s">
        <v>265</v>
      </c>
      <c r="B33" t="s">
        <v>165</v>
      </c>
    </row>
    <row r="34" spans="1:2" x14ac:dyDescent="0.15">
      <c r="A34" t="s">
        <v>135</v>
      </c>
    </row>
    <row r="35" spans="1:2" x14ac:dyDescent="0.15">
      <c r="A35" t="s">
        <v>138</v>
      </c>
      <c r="B35" t="s">
        <v>165</v>
      </c>
    </row>
    <row r="36" spans="1:2" x14ac:dyDescent="0.15">
      <c r="A36" t="s">
        <v>262</v>
      </c>
      <c r="B36" t="s">
        <v>165</v>
      </c>
    </row>
    <row r="37" spans="1:2" x14ac:dyDescent="0.15">
      <c r="A37" s="4" t="s">
        <v>127</v>
      </c>
      <c r="B37" t="s">
        <v>165</v>
      </c>
    </row>
    <row r="38" spans="1:2" x14ac:dyDescent="0.15">
      <c r="A38" s="4" t="s">
        <v>75</v>
      </c>
    </row>
    <row r="39" spans="1:2" x14ac:dyDescent="0.15">
      <c r="A39" s="4" t="s">
        <v>136</v>
      </c>
      <c r="B39" t="s">
        <v>165</v>
      </c>
    </row>
    <row r="40" spans="1:2" x14ac:dyDescent="0.15">
      <c r="A40" s="4" t="s">
        <v>74</v>
      </c>
    </row>
    <row r="41" spans="1:2" x14ac:dyDescent="0.15">
      <c r="A41" s="29" t="s">
        <v>137</v>
      </c>
      <c r="B41" t="s">
        <v>165</v>
      </c>
    </row>
    <row r="42" spans="1:2" x14ac:dyDescent="0.15">
      <c r="A42" s="4" t="s">
        <v>151</v>
      </c>
      <c r="B42" t="s">
        <v>165</v>
      </c>
    </row>
    <row r="43" spans="1:2" x14ac:dyDescent="0.15">
      <c r="A43" s="4" t="s">
        <v>152</v>
      </c>
      <c r="B43" t="s">
        <v>165</v>
      </c>
    </row>
    <row r="44" spans="1:2" x14ac:dyDescent="0.15">
      <c r="A44" s="4" t="s">
        <v>47</v>
      </c>
      <c r="B44" t="s">
        <v>165</v>
      </c>
    </row>
    <row r="45" spans="1:2" x14ac:dyDescent="0.15">
      <c r="A45" t="s">
        <v>261</v>
      </c>
      <c r="B45" t="s">
        <v>165</v>
      </c>
    </row>
    <row r="46" spans="1:2" x14ac:dyDescent="0.15">
      <c r="A46" t="s">
        <v>260</v>
      </c>
      <c r="B46" t="s">
        <v>165</v>
      </c>
    </row>
    <row r="47" spans="1:2" x14ac:dyDescent="0.15">
      <c r="A47" t="s">
        <v>259</v>
      </c>
      <c r="B47" t="s">
        <v>165</v>
      </c>
    </row>
    <row r="48" spans="1:2" x14ac:dyDescent="0.15">
      <c r="A48" t="s">
        <v>257</v>
      </c>
      <c r="B48" t="s">
        <v>165</v>
      </c>
    </row>
    <row r="49" spans="1:2" x14ac:dyDescent="0.15">
      <c r="A49" t="s">
        <v>258</v>
      </c>
      <c r="B49" t="s">
        <v>165</v>
      </c>
    </row>
    <row r="50" spans="1:2" x14ac:dyDescent="0.15">
      <c r="A50" t="s">
        <v>263</v>
      </c>
      <c r="B50" t="s">
        <v>165</v>
      </c>
    </row>
    <row r="51" spans="1:2" x14ac:dyDescent="0.15">
      <c r="A51" s="4" t="s">
        <v>140</v>
      </c>
      <c r="B51" t="s">
        <v>165</v>
      </c>
    </row>
    <row r="52" spans="1:2" x14ac:dyDescent="0.15">
      <c r="A52" s="11" t="s">
        <v>161</v>
      </c>
      <c r="B52" t="s">
        <v>165</v>
      </c>
    </row>
    <row r="53" spans="1:2" x14ac:dyDescent="0.15">
      <c r="A53" s="11" t="s">
        <v>162</v>
      </c>
    </row>
    <row r="54" spans="1:2" x14ac:dyDescent="0.15">
      <c r="A54" s="11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/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115</v>
      </c>
      <c r="H1" s="10" t="s">
        <v>116</v>
      </c>
      <c r="I1" s="10" t="s">
        <v>117</v>
      </c>
      <c r="J1" s="10" t="s">
        <v>118</v>
      </c>
    </row>
    <row r="2" spans="1:10" ht="15.75" customHeight="1" x14ac:dyDescent="0.15">
      <c r="A2" s="10" t="s">
        <v>217</v>
      </c>
      <c r="B2" s="111">
        <v>2.7000000000000001E-3</v>
      </c>
      <c r="C2" s="112">
        <v>0</v>
      </c>
      <c r="D2" s="112">
        <v>0</v>
      </c>
      <c r="E2" s="112">
        <v>0</v>
      </c>
      <c r="F2" s="1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10" t="s">
        <v>15</v>
      </c>
      <c r="B3" s="111">
        <v>0.1966</v>
      </c>
      <c r="C3" s="112">
        <v>0</v>
      </c>
      <c r="D3" s="112">
        <v>0</v>
      </c>
      <c r="E3" s="112">
        <v>0</v>
      </c>
      <c r="F3" s="1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10" t="s">
        <v>16</v>
      </c>
      <c r="B4" s="111">
        <v>6.2100000000000002E-2</v>
      </c>
      <c r="C4" s="112">
        <v>0</v>
      </c>
      <c r="D4" s="112">
        <v>0</v>
      </c>
      <c r="E4" s="112">
        <v>0</v>
      </c>
      <c r="F4" s="1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10" t="s">
        <v>18</v>
      </c>
      <c r="B5" s="111">
        <v>0.29289999999999999</v>
      </c>
      <c r="C5" s="112">
        <v>0</v>
      </c>
      <c r="D5" s="112">
        <v>0</v>
      </c>
      <c r="E5" s="112">
        <v>0</v>
      </c>
      <c r="F5" s="1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10" t="s">
        <v>21</v>
      </c>
      <c r="B6" s="111">
        <v>0.24709999999999999</v>
      </c>
      <c r="C6" s="112">
        <v>0</v>
      </c>
      <c r="D6" s="112">
        <v>0</v>
      </c>
      <c r="E6" s="112">
        <v>0</v>
      </c>
      <c r="F6" s="1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10" t="s">
        <v>22</v>
      </c>
      <c r="B7" s="111">
        <v>4.7999999999999996E-3</v>
      </c>
      <c r="C7" s="112">
        <v>0</v>
      </c>
      <c r="D7" s="112">
        <v>0</v>
      </c>
      <c r="E7" s="112">
        <v>0</v>
      </c>
      <c r="F7" s="1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10" t="s">
        <v>43</v>
      </c>
      <c r="B8" s="111">
        <v>0.13200000000000001</v>
      </c>
      <c r="C8" s="112">
        <v>0</v>
      </c>
      <c r="D8" s="112">
        <v>0</v>
      </c>
      <c r="E8" s="112">
        <v>0</v>
      </c>
      <c r="F8" s="1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10" t="s">
        <v>24</v>
      </c>
      <c r="B9" s="111">
        <v>6.1800000000000001E-2</v>
      </c>
      <c r="C9" s="112">
        <v>0</v>
      </c>
      <c r="D9" s="112">
        <v>0</v>
      </c>
      <c r="E9" s="112">
        <v>0</v>
      </c>
      <c r="F9" s="1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10" t="s">
        <v>213</v>
      </c>
      <c r="B10" s="112">
        <v>0</v>
      </c>
      <c r="C10" s="111">
        <v>0.1368</v>
      </c>
      <c r="D10" s="111">
        <v>0.1368</v>
      </c>
      <c r="E10" s="111">
        <v>0.1368</v>
      </c>
      <c r="F10" s="111">
        <v>0.1368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10" t="s">
        <v>216</v>
      </c>
      <c r="B11" s="112">
        <v>0</v>
      </c>
      <c r="C11" s="111">
        <v>0</v>
      </c>
      <c r="D11" s="111">
        <v>0</v>
      </c>
      <c r="E11" s="111">
        <v>0</v>
      </c>
      <c r="F11" s="111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10" t="s">
        <v>28</v>
      </c>
      <c r="B12" s="112">
        <v>0</v>
      </c>
      <c r="C12" s="111">
        <v>0.20660000000000001</v>
      </c>
      <c r="D12" s="111">
        <v>0.20660000000000001</v>
      </c>
      <c r="E12" s="111">
        <v>0.20660000000000001</v>
      </c>
      <c r="F12" s="111">
        <v>0.20660000000000001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10" t="s">
        <v>29</v>
      </c>
      <c r="B13" s="112">
        <v>0</v>
      </c>
      <c r="C13" s="111">
        <v>2.1100000000000001E-2</v>
      </c>
      <c r="D13" s="111">
        <v>2.1100000000000001E-2</v>
      </c>
      <c r="E13" s="111">
        <v>2.1100000000000001E-2</v>
      </c>
      <c r="F13" s="111">
        <v>2.1100000000000001E-2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10" t="s">
        <v>30</v>
      </c>
      <c r="B14" s="112">
        <v>0</v>
      </c>
      <c r="C14" s="111">
        <v>7.4999999999999997E-3</v>
      </c>
      <c r="D14" s="111">
        <v>7.4999999999999997E-3</v>
      </c>
      <c r="E14" s="111">
        <v>7.4999999999999997E-3</v>
      </c>
      <c r="F14" s="111">
        <v>7.4999999999999997E-3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10" t="s">
        <v>31</v>
      </c>
      <c r="B15" s="112">
        <v>0</v>
      </c>
      <c r="C15" s="111">
        <v>8.6199999999999999E-2</v>
      </c>
      <c r="D15" s="111">
        <v>8.6199999999999999E-2</v>
      </c>
      <c r="E15" s="111">
        <v>8.6199999999999999E-2</v>
      </c>
      <c r="F15" s="111">
        <v>8.6199999999999999E-2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10" t="s">
        <v>32</v>
      </c>
      <c r="B16" s="112">
        <v>0</v>
      </c>
      <c r="C16" s="111">
        <v>2.86E-2</v>
      </c>
      <c r="D16" s="111">
        <v>2.86E-2</v>
      </c>
      <c r="E16" s="111">
        <v>2.86E-2</v>
      </c>
      <c r="F16" s="111">
        <v>2.86E-2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10" t="s">
        <v>33</v>
      </c>
      <c r="B17" s="112">
        <v>0</v>
      </c>
      <c r="C17" s="111">
        <v>1.5299999999999999E-2</v>
      </c>
      <c r="D17" s="111">
        <v>1.5299999999999999E-2</v>
      </c>
      <c r="E17" s="111">
        <v>1.5299999999999999E-2</v>
      </c>
      <c r="F17" s="111">
        <v>1.5299999999999999E-2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10" t="s">
        <v>34</v>
      </c>
      <c r="B18" s="112">
        <v>0</v>
      </c>
      <c r="C18" s="111">
        <v>0.13589999999999999</v>
      </c>
      <c r="D18" s="111">
        <v>0.13589999999999999</v>
      </c>
      <c r="E18" s="111">
        <v>0.13589999999999999</v>
      </c>
      <c r="F18" s="111">
        <v>0.13589999999999999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10" t="s">
        <v>35</v>
      </c>
      <c r="B19" s="112">
        <v>0</v>
      </c>
      <c r="C19" s="111">
        <v>0.36199999999999999</v>
      </c>
      <c r="D19" s="111">
        <v>0.36199999999999999</v>
      </c>
      <c r="E19" s="111">
        <v>0.36199999999999999</v>
      </c>
      <c r="F19" s="111">
        <v>0.36199999999999999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10" t="s">
        <v>85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111">
        <v>0.10082724000000001</v>
      </c>
      <c r="H20" s="111">
        <v>0.10082724000000001</v>
      </c>
      <c r="I20" s="111">
        <v>0.10082724000000001</v>
      </c>
      <c r="J20" s="111">
        <v>0.10082724000000001</v>
      </c>
    </row>
    <row r="21" spans="1:10" ht="15.75" customHeight="1" x14ac:dyDescent="0.15">
      <c r="A21" s="10" t="s">
        <v>86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111">
        <v>3.1206000000000002E-4</v>
      </c>
      <c r="H21" s="111">
        <v>3.1206000000000002E-4</v>
      </c>
      <c r="I21" s="111">
        <v>3.1206000000000002E-4</v>
      </c>
      <c r="J21" s="111">
        <v>3.1206000000000002E-4</v>
      </c>
    </row>
    <row r="22" spans="1:10" ht="15.75" customHeight="1" x14ac:dyDescent="0.15">
      <c r="A22" s="10" t="s">
        <v>87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111">
        <v>0.15891214000000001</v>
      </c>
      <c r="H22" s="111">
        <v>0.15891214000000001</v>
      </c>
      <c r="I22" s="111">
        <v>0.15891214000000001</v>
      </c>
      <c r="J22" s="111">
        <v>0.15891214000000001</v>
      </c>
    </row>
    <row r="23" spans="1:10" ht="15.75" customHeight="1" x14ac:dyDescent="0.15">
      <c r="A23" s="10" t="s">
        <v>88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111">
        <v>0.12598688999999999</v>
      </c>
      <c r="H23" s="111">
        <v>0.12598688999999999</v>
      </c>
      <c r="I23" s="111">
        <v>0.12598688999999999</v>
      </c>
      <c r="J23" s="111">
        <v>0.12598688999999999</v>
      </c>
    </row>
    <row r="24" spans="1:10" ht="15.75" customHeight="1" x14ac:dyDescent="0.15">
      <c r="A24" s="10" t="s">
        <v>89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111">
        <v>0.12434007</v>
      </c>
      <c r="H24" s="111">
        <v>0.12434007</v>
      </c>
      <c r="I24" s="111">
        <v>0.12434007</v>
      </c>
      <c r="J24" s="111">
        <v>0.12434007</v>
      </c>
    </row>
    <row r="25" spans="1:10" ht="15.75" customHeight="1" x14ac:dyDescent="0.15">
      <c r="A25" s="10" t="s">
        <v>90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111">
        <v>3.9028409999999999E-2</v>
      </c>
      <c r="H25" s="111">
        <v>3.9028409999999999E-2</v>
      </c>
      <c r="I25" s="111">
        <v>3.9028409999999999E-2</v>
      </c>
      <c r="J25" s="111">
        <v>3.9028409999999999E-2</v>
      </c>
    </row>
    <row r="26" spans="1:10" ht="15.75" customHeight="1" x14ac:dyDescent="0.15">
      <c r="A26" s="10" t="s">
        <v>91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111">
        <v>8.5254999999999999E-4</v>
      </c>
      <c r="H26" s="111">
        <v>8.5254999999999999E-4</v>
      </c>
      <c r="I26" s="111">
        <v>8.5254999999999999E-4</v>
      </c>
      <c r="J26" s="111">
        <v>8.5254999999999999E-4</v>
      </c>
    </row>
    <row r="27" spans="1:10" ht="15.75" customHeight="1" x14ac:dyDescent="0.15">
      <c r="A27" s="10" t="s">
        <v>92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111">
        <v>6.8467810000000004E-2</v>
      </c>
      <c r="H27" s="111">
        <v>6.8467810000000004E-2</v>
      </c>
      <c r="I27" s="111">
        <v>6.8467810000000004E-2</v>
      </c>
      <c r="J27" s="111">
        <v>6.8467810000000004E-2</v>
      </c>
    </row>
    <row r="28" spans="1:10" ht="15.75" customHeight="1" x14ac:dyDescent="0.15">
      <c r="A28" s="10" t="s">
        <v>93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111">
        <v>0.38127283000000001</v>
      </c>
      <c r="H28" s="111">
        <v>0.38127283000000001</v>
      </c>
      <c r="I28" s="111">
        <v>0.38127283000000001</v>
      </c>
      <c r="J28" s="111">
        <v>0.38127283000000001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5">
        <v>7.1999999999999995E-2</v>
      </c>
      <c r="C2" s="15">
        <v>7.1999999999999995E-2</v>
      </c>
      <c r="D2" s="15">
        <v>7.1999999999999995E-2</v>
      </c>
      <c r="E2" s="15">
        <v>7.1999999999999995E-2</v>
      </c>
      <c r="F2" s="15">
        <v>7.1999999999999995E-2</v>
      </c>
    </row>
    <row r="3" spans="1:6" ht="15.75" customHeight="1" x14ac:dyDescent="0.15">
      <c r="A3" t="s">
        <v>216</v>
      </c>
      <c r="B3" s="30">
        <v>3.2000000000000001E-2</v>
      </c>
      <c r="C3" s="30">
        <v>3.2000000000000001E-2</v>
      </c>
      <c r="D3" s="30">
        <v>3.2000000000000001E-2</v>
      </c>
      <c r="E3" s="30">
        <v>3.2000000000000001E-2</v>
      </c>
      <c r="F3" s="30">
        <v>3.2000000000000001E-2</v>
      </c>
    </row>
    <row r="4" spans="1:6" ht="15.75" customHeight="1" x14ac:dyDescent="0.15">
      <c r="A4" s="4" t="s">
        <v>28</v>
      </c>
      <c r="B4" s="13">
        <v>1.7570000000000001E-3</v>
      </c>
      <c r="C4" s="13">
        <v>1.7570000000000001E-3</v>
      </c>
      <c r="D4" s="13">
        <v>1.7570000000000001E-3</v>
      </c>
      <c r="E4" s="13">
        <v>1.7570000000000001E-3</v>
      </c>
      <c r="F4" s="13">
        <v>1.7570000000000001E-3</v>
      </c>
    </row>
    <row r="5" spans="1:6" ht="15.75" customHeight="1" x14ac:dyDescent="0.15">
      <c r="A5" s="4" t="s">
        <v>147</v>
      </c>
      <c r="B5" s="44">
        <f>Distributions!C10 * 2.6</f>
        <v>0.1404</v>
      </c>
      <c r="C5" s="44">
        <f>Distributions!D10 * 2.6</f>
        <v>0.1404</v>
      </c>
      <c r="D5" s="44">
        <f>Distributions!E10 * 2.6</f>
        <v>0.14045866666666668</v>
      </c>
      <c r="E5" s="44">
        <f>Distributions!F10 * 2.6</f>
        <v>0.11062404115996258</v>
      </c>
      <c r="F5" s="44">
        <f>Distributions!G10 * 2.6</f>
        <v>5.8059717622450747E-2</v>
      </c>
    </row>
    <row r="6" spans="1:6" ht="15.75" customHeight="1" x14ac:dyDescent="0.15">
      <c r="A6" s="4" t="s">
        <v>148</v>
      </c>
      <c r="B6" s="44">
        <f>Distributions!C11 * 2.6</f>
        <v>0.10400000000000001</v>
      </c>
      <c r="C6" s="44">
        <f>Distributions!D11 * 2.6</f>
        <v>0.10400000000000001</v>
      </c>
      <c r="D6" s="44">
        <f>Distributions!E11 * 2.6</f>
        <v>4.0885333333333343E-2</v>
      </c>
      <c r="E6" s="44">
        <f>Distributions!F11 * 2.6</f>
        <v>2.6248082319925165E-2</v>
      </c>
      <c r="F6" s="44">
        <f>Distributions!G11 * 2.6</f>
        <v>1.9069687990238803E-2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/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204</v>
      </c>
      <c r="B2" t="s">
        <v>206</v>
      </c>
      <c r="C2" s="82">
        <f t="shared" ref="C2:O2" si="0">1-C3</f>
        <v>0.95</v>
      </c>
      <c r="D2" s="82">
        <f t="shared" si="0"/>
        <v>0.95</v>
      </c>
      <c r="E2" s="82">
        <f t="shared" si="0"/>
        <v>0.67198000000000002</v>
      </c>
      <c r="F2" s="82">
        <f t="shared" si="0"/>
        <v>0.69361000000000006</v>
      </c>
      <c r="G2" s="82">
        <f t="shared" si="0"/>
        <v>0.79686000000000001</v>
      </c>
      <c r="H2" s="82">
        <f t="shared" si="0"/>
        <v>0.80134000000000005</v>
      </c>
      <c r="I2" s="82">
        <f t="shared" si="0"/>
        <v>0.81225999999999998</v>
      </c>
      <c r="J2" s="82">
        <f t="shared" si="0"/>
        <v>0.81813999999999998</v>
      </c>
      <c r="K2" s="82">
        <f t="shared" si="0"/>
        <v>0.81435999999999997</v>
      </c>
      <c r="L2" s="82">
        <f t="shared" si="0"/>
        <v>0.80134000000000005</v>
      </c>
      <c r="M2" s="82">
        <f t="shared" si="0"/>
        <v>0.81225999999999998</v>
      </c>
      <c r="N2" s="82">
        <f t="shared" si="0"/>
        <v>0.81813999999999998</v>
      </c>
      <c r="O2" s="82">
        <f t="shared" si="0"/>
        <v>0.81435999999999997</v>
      </c>
    </row>
    <row r="3" spans="1:15" x14ac:dyDescent="0.15">
      <c r="B3" t="s">
        <v>207</v>
      </c>
      <c r="C3" s="82">
        <f>C6</f>
        <v>0.05</v>
      </c>
      <c r="D3" s="82">
        <f t="shared" ref="D3:N3" si="1">D6</f>
        <v>0.05</v>
      </c>
      <c r="E3" s="82">
        <f t="shared" si="1"/>
        <v>0.32801999999999998</v>
      </c>
      <c r="F3" s="82">
        <f t="shared" si="1"/>
        <v>0.30639</v>
      </c>
      <c r="G3" s="82">
        <f t="shared" si="1"/>
        <v>0.20314000000000002</v>
      </c>
      <c r="H3" s="82">
        <f t="shared" si="1"/>
        <v>0.19865999999999998</v>
      </c>
      <c r="I3" s="82">
        <f t="shared" si="1"/>
        <v>0.18773999999999999</v>
      </c>
      <c r="J3" s="82">
        <f t="shared" si="1"/>
        <v>0.18185999999999999</v>
      </c>
      <c r="K3" s="82">
        <f t="shared" si="1"/>
        <v>0.18564</v>
      </c>
      <c r="L3" s="82">
        <f t="shared" si="1"/>
        <v>0.19865999999999998</v>
      </c>
      <c r="M3" s="82">
        <f t="shared" si="1"/>
        <v>0.18773999999999999</v>
      </c>
      <c r="N3" s="82">
        <f t="shared" si="1"/>
        <v>0.18185999999999999</v>
      </c>
      <c r="O3" s="82">
        <f>O6</f>
        <v>0.18564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198</v>
      </c>
      <c r="B5" t="s">
        <v>207</v>
      </c>
      <c r="C5" s="113">
        <v>0.1</v>
      </c>
      <c r="D5" s="113">
        <v>0.1</v>
      </c>
      <c r="E5" s="114">
        <v>0.78100000000000003</v>
      </c>
      <c r="F5" s="114">
        <f>(79+66.9)/2/100</f>
        <v>0.72950000000000004</v>
      </c>
      <c r="G5" s="115">
        <f>(57.1+45.2+42.8)/3/100</f>
        <v>0.48366666666666674</v>
      </c>
      <c r="H5" s="81">
        <f>L5</f>
        <v>0.47299999999999998</v>
      </c>
      <c r="I5" s="81">
        <f t="shared" ref="I5:J5" si="2">M5</f>
        <v>0.44700000000000001</v>
      </c>
      <c r="J5" s="81">
        <f t="shared" si="2"/>
        <v>0.433</v>
      </c>
      <c r="K5" s="81">
        <v>0.442</v>
      </c>
      <c r="L5" s="81">
        <v>0.47299999999999998</v>
      </c>
      <c r="M5" s="81">
        <v>0.44700000000000001</v>
      </c>
      <c r="N5" s="81">
        <v>0.433</v>
      </c>
      <c r="O5" s="81">
        <v>0.442</v>
      </c>
    </row>
    <row r="6" spans="1:15" x14ac:dyDescent="0.15">
      <c r="A6" s="10" t="s">
        <v>199</v>
      </c>
      <c r="B6" t="s">
        <v>207</v>
      </c>
      <c r="C6" s="113">
        <v>0.05</v>
      </c>
      <c r="D6" s="113">
        <v>0.05</v>
      </c>
      <c r="E6" s="116">
        <f>0.42*E5</f>
        <v>0.32801999999999998</v>
      </c>
      <c r="F6" s="116">
        <f t="shared" ref="F6:O6" si="3">0.42*F5</f>
        <v>0.30639</v>
      </c>
      <c r="G6" s="116">
        <f t="shared" si="3"/>
        <v>0.20314000000000002</v>
      </c>
      <c r="H6" s="116">
        <f t="shared" si="3"/>
        <v>0.19865999999999998</v>
      </c>
      <c r="I6" s="116">
        <f t="shared" si="3"/>
        <v>0.18773999999999999</v>
      </c>
      <c r="J6" s="116">
        <f t="shared" si="3"/>
        <v>0.18185999999999999</v>
      </c>
      <c r="K6" s="116">
        <f t="shared" si="3"/>
        <v>0.18564</v>
      </c>
      <c r="L6" s="116">
        <f t="shared" si="3"/>
        <v>0.19865999999999998</v>
      </c>
      <c r="M6" s="116">
        <f t="shared" si="3"/>
        <v>0.18773999999999999</v>
      </c>
      <c r="N6" s="116">
        <f t="shared" si="3"/>
        <v>0.18185999999999999</v>
      </c>
      <c r="O6" s="116">
        <f t="shared" si="3"/>
        <v>0.18564</v>
      </c>
    </row>
    <row r="7" spans="1:15" x14ac:dyDescent="0.15">
      <c r="A7" s="10" t="s">
        <v>200</v>
      </c>
      <c r="B7" t="s">
        <v>207</v>
      </c>
      <c r="C7" s="117">
        <v>2.7699999999999999E-2</v>
      </c>
      <c r="D7" s="117">
        <v>2.7699999999999999E-2</v>
      </c>
      <c r="E7" s="117">
        <v>2.7699999999999999E-2</v>
      </c>
      <c r="F7" s="117">
        <v>2.7699999999999999E-2</v>
      </c>
      <c r="G7" s="117">
        <v>2.7699999999999999E-2</v>
      </c>
      <c r="H7" s="117">
        <v>1.7000000000000001E-2</v>
      </c>
      <c r="I7" s="117">
        <v>1.7000000000000001E-2</v>
      </c>
      <c r="J7" s="117">
        <v>1.7000000000000001E-2</v>
      </c>
      <c r="K7" s="117">
        <v>1.7000000000000001E-2</v>
      </c>
      <c r="L7" s="117">
        <v>1.7000000000000001E-2</v>
      </c>
      <c r="M7" s="117">
        <v>1.7000000000000001E-2</v>
      </c>
      <c r="N7" s="117">
        <v>1.7000000000000001E-2</v>
      </c>
      <c r="O7" s="117">
        <v>1.7000000000000001E-2</v>
      </c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/>
  </sheetViews>
  <sheetFormatPr baseColWidth="10" defaultColWidth="14.5" defaultRowHeight="15.75" customHeight="1" x14ac:dyDescent="0.15"/>
  <cols>
    <col min="3" max="3" width="20.33203125" bestFit="1" customWidth="1"/>
    <col min="5" max="7" width="20.33203125" bestFit="1" customWidth="1"/>
  </cols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111">
        <f>1-_xlfn.NORM.DIST(_xlfn.NORM.INV(SUM(C4:C5), 0, 1) + 1, 0, 1, TRUE)</f>
        <v>0.54471569980476653</v>
      </c>
      <c r="D2" s="111">
        <f t="shared" ref="D2:G2" si="0">1-_xlfn.NORM.DIST(_xlfn.NORM.INV(SUM(D4:D5), 0, 1) + 1, 0, 1, TRUE)</f>
        <v>0.54471569980476653</v>
      </c>
      <c r="E2" s="111">
        <f t="shared" si="0"/>
        <v>0.44982829694488635</v>
      </c>
      <c r="F2" s="111">
        <f t="shared" si="0"/>
        <v>0.24457139941017503</v>
      </c>
      <c r="G2" s="111">
        <f t="shared" si="0"/>
        <v>0.23269074767298425</v>
      </c>
    </row>
    <row r="3" spans="1:7" ht="15.75" customHeight="1" x14ac:dyDescent="0.15">
      <c r="A3" s="11"/>
      <c r="B3" s="12" t="s">
        <v>23</v>
      </c>
      <c r="C3" s="111">
        <f>_xlfn.NORM.DIST(_xlfn.NORM.INV(SUM(C4:C5), 0, 1) + 1, 0, 1, TRUE) - SUM(C4:C5)</f>
        <v>0.32228430019523346</v>
      </c>
      <c r="D3" s="111">
        <f t="shared" ref="D3:G3" si="1">_xlfn.NORM.DIST(_xlfn.NORM.INV(SUM(D4:D5), 0, 1) + 1, 0, 1, TRUE) - SUM(D4:D5)</f>
        <v>0.32228430019523346</v>
      </c>
      <c r="E3" s="111">
        <f t="shared" si="1"/>
        <v>0.35908666207150708</v>
      </c>
      <c r="F3" s="111">
        <f t="shared" si="1"/>
        <v>0.37651189492768178</v>
      </c>
      <c r="G3" s="111">
        <f t="shared" si="1"/>
        <v>0.37372365733745416</v>
      </c>
    </row>
    <row r="4" spans="1:7" ht="15.75" customHeight="1" x14ac:dyDescent="0.15">
      <c r="A4" s="11"/>
      <c r="B4" s="12" t="s">
        <v>25</v>
      </c>
      <c r="C4" s="111">
        <f>'Distributions data'!D3-C5</f>
        <v>8.7000000000000008E-2</v>
      </c>
      <c r="D4" s="111">
        <f>'Distributions data'!D3-D5</f>
        <v>8.7000000000000008E-2</v>
      </c>
      <c r="E4" s="111">
        <f>('Distributions data'!E3*'Distributions data'!E2+'Distributions data'!F3*'Distributions data'!F2)/SUM('Distributions data'!E2:F2) -E5</f>
        <v>0.13443032786885245</v>
      </c>
      <c r="F4" s="111">
        <f>('Distributions data'!G3*'Distributions data'!G2+'Distributions data'!H3*'Distributions data'!H2)/SUM('Distributions data'!G2:H2) - F5</f>
        <v>0.24673186710341602</v>
      </c>
      <c r="G4" s="111">
        <f>('Distributions data'!I3*'Distributions data'!I2+'Distributions data'!J3*'Distributions data'!J2+'Distributions data'!K3*'Distributions data'!K2)/SUM('Distributions data'!I2:K2)-G5</f>
        <v>0.25929610299234518</v>
      </c>
    </row>
    <row r="5" spans="1:7" ht="15.75" customHeight="1" x14ac:dyDescent="0.15">
      <c r="A5" s="11"/>
      <c r="B5" s="12" t="s">
        <v>26</v>
      </c>
      <c r="C5" s="111">
        <f>'Distributions data'!D4</f>
        <v>4.5999999999999999E-2</v>
      </c>
      <c r="D5" s="111">
        <f>'Distributions data'!D4</f>
        <v>4.5999999999999999E-2</v>
      </c>
      <c r="E5" s="111">
        <f>('Distributions data'!E4*'Distributions data'!E2+'Distributions data'!F4*'Distributions data'!F2)/SUM('Distributions data'!E2:F2)</f>
        <v>5.6654713114754097E-2</v>
      </c>
      <c r="F5" s="111">
        <f>('Distributions data'!G4*'Distributions data'!G2+'Distributions data'!H4*'Distributions data'!H2)/SUM('Distributions data'!G2:H2)</f>
        <v>0.13218483855872717</v>
      </c>
      <c r="G5" s="111">
        <f>('Distributions data'!I4*'Distributions data'!I2+'Distributions data'!J4*'Distributions data'!J2+'Distributions data'!K4*'Distributions data'!K2)/SUM('Distributions data'!I2:K2)</f>
        <v>0.13428949199721643</v>
      </c>
    </row>
    <row r="6" spans="1:7" ht="15.75" customHeight="1" x14ac:dyDescent="0.15">
      <c r="C6" s="82"/>
      <c r="D6" s="82"/>
      <c r="E6" s="82"/>
      <c r="F6" s="82"/>
      <c r="G6" s="82"/>
    </row>
    <row r="7" spans="1:7" ht="15.75" customHeight="1" x14ac:dyDescent="0.15">
      <c r="C7" s="82"/>
      <c r="D7" s="82"/>
      <c r="E7" s="82"/>
      <c r="F7" s="82"/>
      <c r="G7" s="82"/>
    </row>
    <row r="8" spans="1:7" ht="15.75" customHeight="1" x14ac:dyDescent="0.15">
      <c r="A8" s="4" t="s">
        <v>27</v>
      </c>
      <c r="B8" s="12" t="s">
        <v>14</v>
      </c>
      <c r="C8" s="111">
        <f>1-_xlfn.NORM.DIST(_xlfn.NORM.INV(SUM(C10:C11), 0, 1) + 1, 0, 1, TRUE)</f>
        <v>0.6241955901533508</v>
      </c>
      <c r="D8" s="111">
        <f t="shared" ref="D8:G8" si="2">1-_xlfn.NORM.DIST(_xlfn.NORM.INV(SUM(D10:D11), 0, 1) + 1, 0, 1, TRUE)</f>
        <v>0.6241955901533508</v>
      </c>
      <c r="E8" s="111">
        <f t="shared" si="2"/>
        <v>0.68355843805440353</v>
      </c>
      <c r="F8" s="111">
        <f t="shared" si="2"/>
        <v>0.73228840888273117</v>
      </c>
      <c r="G8" s="111">
        <f t="shared" si="2"/>
        <v>0.81212055177975573</v>
      </c>
    </row>
    <row r="9" spans="1:7" ht="15.75" customHeight="1" x14ac:dyDescent="0.15">
      <c r="B9" s="12" t="s">
        <v>23</v>
      </c>
      <c r="C9" s="111">
        <f>_xlfn.NORM.DIST(_xlfn.NORM.INV(SUM(C10:C11), 0, 1) + 1, 0, 1, TRUE) - SUM(C10:C11)</f>
        <v>0.28180440984664923</v>
      </c>
      <c r="D9" s="111">
        <f t="shared" ref="D9:G9" si="3">_xlfn.NORM.DIST(_xlfn.NORM.INV(SUM(D$10:D$11), 0, 1) + 1, 0, 1, TRUE) - SUM(D$10:D$11)</f>
        <v>0.28180440984664923</v>
      </c>
      <c r="E9" s="111">
        <f t="shared" si="3"/>
        <v>0.2466938696379041</v>
      </c>
      <c r="F9" s="111">
        <f t="shared" si="3"/>
        <v>0.21506846670192739</v>
      </c>
      <c r="G9" s="111">
        <f t="shared" si="3"/>
        <v>0.15821429221536368</v>
      </c>
    </row>
    <row r="10" spans="1:7" ht="15.75" customHeight="1" x14ac:dyDescent="0.15">
      <c r="B10" s="4" t="s">
        <v>147</v>
      </c>
      <c r="C10" s="111">
        <f>'Distributions data'!D9-C11</f>
        <v>5.3999999999999999E-2</v>
      </c>
      <c r="D10" s="111">
        <f>'Distributions data'!D9-D11</f>
        <v>5.3999999999999999E-2</v>
      </c>
      <c r="E10" s="111">
        <f>('Distributions data'!E9*'Distributions data'!E8+'Distributions data'!F9*'Distributions data'!F8)/SUM('Distributions data'!E8:F8) -E11</f>
        <v>5.4022564102564105E-2</v>
      </c>
      <c r="F10" s="111">
        <f>('Distributions data'!G9*'Distributions data'!G8+'Distributions data'!H9*'Distributions data'!H8)/SUM('Distributions data'!G8:H8) - F11</f>
        <v>4.2547708138447146E-2</v>
      </c>
      <c r="G10" s="111">
        <f>('Distributions data'!I9*'Distributions data'!I8+'Distributions data'!J9*'Distributions data'!J8+'Distributions data'!K9*'Distributions data'!K8)/SUM('Distributions data'!I8:K8)-G11</f>
        <v>2.2330660624019519E-2</v>
      </c>
    </row>
    <row r="11" spans="1:7" ht="15.75" customHeight="1" x14ac:dyDescent="0.15">
      <c r="B11" s="4" t="s">
        <v>148</v>
      </c>
      <c r="C11" s="111">
        <f>'Distributions data'!D10</f>
        <v>0.04</v>
      </c>
      <c r="D11" s="111">
        <f>'Distributions data'!D10</f>
        <v>0.04</v>
      </c>
      <c r="E11" s="111">
        <f>('Distributions data'!E10*'Distributions data'!E8+'Distributions data'!F10*'Distributions data'!F8)/SUM('Distributions data'!E8:F8)</f>
        <v>1.5725128205128207E-2</v>
      </c>
      <c r="F11" s="111">
        <f>('Distributions data'!G10*'Distributions data'!G8+'Distributions data'!H10*'Distributions data'!H8)/SUM('Distributions data'!G8:H8)</f>
        <v>1.0095416276894293E-2</v>
      </c>
      <c r="G11" s="111">
        <f>('Distributions data'!I10*'Distributions data'!I8+'Distributions data'!J10*'Distributions data'!J8+'Distributions data'!K10*'Distributions data'!K8)/SUM('Distributions data'!I8:K8)</f>
        <v>7.3344953808610778E-3</v>
      </c>
    </row>
    <row r="12" spans="1:7" ht="15.75" customHeight="1" x14ac:dyDescent="0.15">
      <c r="C12" s="82"/>
      <c r="D12" s="82"/>
      <c r="E12" s="82"/>
      <c r="F12" s="82"/>
      <c r="G12" s="82"/>
    </row>
    <row r="13" spans="1:7" ht="15.75" customHeight="1" x14ac:dyDescent="0.15">
      <c r="C13" s="82"/>
      <c r="D13" s="82"/>
      <c r="E13" s="82"/>
      <c r="F13" s="82"/>
      <c r="G13" s="82"/>
    </row>
    <row r="14" spans="1:7" ht="15.75" customHeight="1" x14ac:dyDescent="0.15">
      <c r="A14" s="4" t="s">
        <v>36</v>
      </c>
      <c r="B14" s="4" t="s">
        <v>37</v>
      </c>
      <c r="C14" s="111">
        <f>'Distributions data'!D15</f>
        <v>0.84</v>
      </c>
      <c r="D14" s="111">
        <f>('Distributions data'!E15*'Distributions data'!E14+'Distributions data'!F15*'Distributions data'!F14)/SUM('Distributions data'!E14:F14)</f>
        <v>0.44307448494453255</v>
      </c>
      <c r="E14" s="111">
        <f>('Distributions data'!G15*'Distributions data'!G$14+'Distributions data'!H15*'Distributions data'!H$14)/SUM('Distributions data'!G$14:H$14)</f>
        <v>1.36244579358196E-2</v>
      </c>
      <c r="F14" s="111">
        <f>'Distributions data'!I15</f>
        <v>0</v>
      </c>
      <c r="G14" s="111">
        <v>0</v>
      </c>
    </row>
    <row r="15" spans="1:7" ht="15.75" customHeight="1" x14ac:dyDescent="0.15">
      <c r="B15" s="4" t="s">
        <v>38</v>
      </c>
      <c r="C15" s="111">
        <f>'Distributions data'!D16</f>
        <v>9.1999999999999998E-2</v>
      </c>
      <c r="D15" s="111">
        <f>('Distributions data'!E16*'Distributions data'!E$14+'Distributions data'!F16*'Distributions data'!F$14)/SUM('Distributions data'!E$14:F$14)</f>
        <v>0.21674801901743265</v>
      </c>
      <c r="E15" s="111">
        <f>('Distributions data'!G16*'Distributions data'!G$14+'Distributions data'!H16*'Distributions data'!H$14)/SUM('Distributions data'!G$14:H$14)</f>
        <v>3.2771032090199478E-2</v>
      </c>
      <c r="F15" s="111">
        <f>'Distributions data'!I16</f>
        <v>1E-3</v>
      </c>
      <c r="G15" s="111">
        <v>0</v>
      </c>
    </row>
    <row r="16" spans="1:7" ht="15.75" customHeight="1" x14ac:dyDescent="0.15">
      <c r="B16" s="4" t="s">
        <v>39</v>
      </c>
      <c r="C16" s="111">
        <f>'Distributions data'!D17</f>
        <v>5.8000000000000003E-2</v>
      </c>
      <c r="D16" s="111">
        <f>('Distributions data'!E17*'Distributions data'!E$14+'Distributions data'!F17*'Distributions data'!F$14)/SUM('Distributions data'!E$14:F$14)</f>
        <v>0.31577812995245641</v>
      </c>
      <c r="E16" s="111">
        <f>('Distributions data'!G17*'Distributions data'!G$14+'Distributions data'!H17*'Distributions data'!H$14)/SUM('Distributions data'!G$14:H$14)</f>
        <v>0.93464267129228107</v>
      </c>
      <c r="F16" s="111">
        <f>'Distributions data'!I17</f>
        <v>0.72099999999999997</v>
      </c>
      <c r="G16" s="111">
        <v>0</v>
      </c>
    </row>
    <row r="17" spans="2:7" ht="15.75" customHeight="1" x14ac:dyDescent="0.15">
      <c r="B17" s="4" t="s">
        <v>40</v>
      </c>
      <c r="C17" s="111">
        <f>'Distributions data'!D18</f>
        <v>1.0000000000000009E-2</v>
      </c>
      <c r="D17" s="111">
        <f>('Distributions data'!E18*'Distributions data'!E$14+'Distributions data'!F18*'Distributions data'!F$14)/SUM('Distributions data'!E$14:F$14)</f>
        <v>2.4399366085578467E-2</v>
      </c>
      <c r="E17" s="111">
        <f>('Distributions data'!G18*'Distributions data'!G$14+'Distributions data'!H18*'Distributions data'!H$14)/SUM('Distributions data'!G$14:H$14)</f>
        <v>1.8961838681699865E-2</v>
      </c>
      <c r="F17" s="111">
        <f>'Distributions data'!I18</f>
        <v>0.27800000000000002</v>
      </c>
      <c r="G17" s="111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F9271-A6AF-7E41-A1A9-AAF3090BE398}">
  <dimension ref="A1:K18"/>
  <sheetViews>
    <sheetView workbookViewId="0"/>
  </sheetViews>
  <sheetFormatPr baseColWidth="10" defaultRowHeight="13" x14ac:dyDescent="0.15"/>
  <sheetData>
    <row r="1" spans="1:11" x14ac:dyDescent="0.15">
      <c r="A1" s="10" t="s">
        <v>11</v>
      </c>
      <c r="B1" s="10" t="s">
        <v>12</v>
      </c>
      <c r="C1" s="10" t="s">
        <v>278</v>
      </c>
      <c r="D1" s="10" t="s">
        <v>277</v>
      </c>
      <c r="E1" s="144" t="s">
        <v>271</v>
      </c>
      <c r="F1" s="10" t="s">
        <v>272</v>
      </c>
      <c r="G1" s="10" t="s">
        <v>273</v>
      </c>
      <c r="H1" s="10" t="s">
        <v>246</v>
      </c>
      <c r="I1" s="10" t="s">
        <v>274</v>
      </c>
      <c r="J1" s="10" t="s">
        <v>275</v>
      </c>
      <c r="K1" s="10" t="s">
        <v>276</v>
      </c>
    </row>
    <row r="2" spans="1:11" s="11" customFormat="1" x14ac:dyDescent="0.15">
      <c r="A2" s="51" t="s">
        <v>13</v>
      </c>
      <c r="C2" s="12" t="s">
        <v>279</v>
      </c>
      <c r="D2" s="11">
        <v>984</v>
      </c>
      <c r="E2" s="11">
        <v>521</v>
      </c>
      <c r="F2" s="11">
        <v>455</v>
      </c>
      <c r="G2" s="11">
        <v>1102</v>
      </c>
      <c r="H2" s="11">
        <v>1035</v>
      </c>
      <c r="I2" s="11">
        <v>1914</v>
      </c>
      <c r="J2" s="11">
        <v>1912</v>
      </c>
      <c r="K2" s="11">
        <v>1922</v>
      </c>
    </row>
    <row r="3" spans="1:11" x14ac:dyDescent="0.15">
      <c r="B3" s="12" t="s">
        <v>282</v>
      </c>
      <c r="C3" s="12" t="s">
        <v>280</v>
      </c>
      <c r="D3">
        <v>0.13300000000000001</v>
      </c>
      <c r="E3">
        <v>0.14399999999999999</v>
      </c>
      <c r="F3">
        <v>0.245</v>
      </c>
      <c r="G3">
        <v>0.33</v>
      </c>
      <c r="H3">
        <v>0.43099999999999999</v>
      </c>
      <c r="I3">
        <v>0.44400000000000001</v>
      </c>
      <c r="J3">
        <v>0.4</v>
      </c>
      <c r="K3">
        <v>0.33700000000000002</v>
      </c>
    </row>
    <row r="4" spans="1:11" s="11" customFormat="1" x14ac:dyDescent="0.15">
      <c r="A4" s="51"/>
      <c r="B4" s="12" t="s">
        <v>281</v>
      </c>
      <c r="C4" s="12" t="s">
        <v>280</v>
      </c>
      <c r="D4" s="11">
        <v>4.5999999999999999E-2</v>
      </c>
      <c r="E4" s="11">
        <v>4.4999999999999998E-2</v>
      </c>
      <c r="F4" s="11">
        <v>7.0000000000000007E-2</v>
      </c>
      <c r="G4" s="11">
        <v>0.107</v>
      </c>
      <c r="H4" s="11">
        <v>0.159</v>
      </c>
      <c r="I4" s="11">
        <v>0.16500000000000001</v>
      </c>
      <c r="J4" s="11">
        <v>0.13500000000000001</v>
      </c>
      <c r="K4" s="11">
        <v>0.10299999999999999</v>
      </c>
    </row>
    <row r="5" spans="1:11" s="11" customFormat="1" x14ac:dyDescent="0.15">
      <c r="A5" s="51"/>
      <c r="B5" s="12"/>
      <c r="C5" s="12"/>
    </row>
    <row r="6" spans="1:11" s="11" customFormat="1" x14ac:dyDescent="0.15">
      <c r="A6" s="51"/>
      <c r="B6" s="12"/>
      <c r="C6" s="12"/>
    </row>
    <row r="7" spans="1:11" x14ac:dyDescent="0.15">
      <c r="B7" s="12"/>
      <c r="C7" s="12"/>
    </row>
    <row r="8" spans="1:11" s="11" customFormat="1" x14ac:dyDescent="0.15">
      <c r="A8" s="51" t="s">
        <v>27</v>
      </c>
      <c r="C8" s="12" t="s">
        <v>279</v>
      </c>
      <c r="D8" s="11">
        <v>961</v>
      </c>
      <c r="E8" s="11">
        <v>521</v>
      </c>
      <c r="F8" s="11">
        <v>454</v>
      </c>
      <c r="G8" s="11">
        <v>1103</v>
      </c>
      <c r="H8" s="11">
        <v>1035</v>
      </c>
      <c r="I8" s="11">
        <v>1907</v>
      </c>
      <c r="J8" s="11">
        <v>1917</v>
      </c>
      <c r="K8" s="11">
        <v>1913</v>
      </c>
    </row>
    <row r="9" spans="1:11" x14ac:dyDescent="0.15">
      <c r="B9" s="12" t="s">
        <v>282</v>
      </c>
      <c r="C9" s="12" t="s">
        <v>280</v>
      </c>
      <c r="D9" s="11">
        <v>9.4E-2</v>
      </c>
      <c r="E9" s="11">
        <v>4.5999999999999999E-2</v>
      </c>
      <c r="F9" s="11">
        <v>9.7000000000000003E-2</v>
      </c>
      <c r="G9" s="11">
        <v>5.7000000000000002E-2</v>
      </c>
      <c r="H9" s="11">
        <v>4.8000000000000001E-2</v>
      </c>
      <c r="I9" s="11">
        <v>0.03</v>
      </c>
      <c r="J9" s="11">
        <v>2.8000000000000001E-2</v>
      </c>
      <c r="K9" s="11">
        <v>3.1E-2</v>
      </c>
    </row>
    <row r="10" spans="1:11" s="11" customFormat="1" x14ac:dyDescent="0.15">
      <c r="A10" s="51"/>
      <c r="B10" s="12" t="s">
        <v>281</v>
      </c>
      <c r="C10" s="12" t="s">
        <v>280</v>
      </c>
      <c r="D10" s="11">
        <v>0.04</v>
      </c>
      <c r="E10" s="11">
        <v>1.2E-2</v>
      </c>
      <c r="F10" s="11">
        <v>0.02</v>
      </c>
      <c r="G10" s="11">
        <v>1.2999999999999999E-2</v>
      </c>
      <c r="H10" s="11">
        <v>7.0000000000000001E-3</v>
      </c>
      <c r="I10" s="11">
        <v>8.0000000000000002E-3</v>
      </c>
      <c r="J10" s="11">
        <v>0.01</v>
      </c>
      <c r="K10" s="11">
        <v>4.0000000000000001E-3</v>
      </c>
    </row>
    <row r="13" spans="1:11" x14ac:dyDescent="0.15">
      <c r="D13" s="10" t="s">
        <v>6</v>
      </c>
      <c r="E13" s="10" t="s">
        <v>283</v>
      </c>
      <c r="F13" s="10" t="s">
        <v>284</v>
      </c>
      <c r="G13" s="10" t="s">
        <v>285</v>
      </c>
      <c r="H13" s="10" t="s">
        <v>272</v>
      </c>
      <c r="I13" s="10" t="s">
        <v>9</v>
      </c>
      <c r="J13" s="133"/>
    </row>
    <row r="14" spans="1:11" x14ac:dyDescent="0.15">
      <c r="A14" s="10" t="s">
        <v>36</v>
      </c>
      <c r="C14" s="133" t="s">
        <v>279</v>
      </c>
      <c r="D14">
        <v>381</v>
      </c>
      <c r="E14">
        <v>347</v>
      </c>
      <c r="F14">
        <v>284</v>
      </c>
      <c r="G14">
        <v>683</v>
      </c>
      <c r="H14">
        <v>470</v>
      </c>
      <c r="I14">
        <v>2134</v>
      </c>
    </row>
    <row r="15" spans="1:11" x14ac:dyDescent="0.15">
      <c r="B15" s="4" t="s">
        <v>37</v>
      </c>
      <c r="C15" s="133" t="s">
        <v>280</v>
      </c>
      <c r="D15">
        <v>0.84</v>
      </c>
      <c r="E15">
        <v>0.58799999999999997</v>
      </c>
      <c r="F15">
        <v>0.26600000000000001</v>
      </c>
      <c r="G15">
        <v>2.3E-2</v>
      </c>
      <c r="H15">
        <v>0</v>
      </c>
      <c r="I15">
        <v>0</v>
      </c>
    </row>
    <row r="16" spans="1:11" x14ac:dyDescent="0.15">
      <c r="B16" s="4" t="s">
        <v>38</v>
      </c>
      <c r="C16" s="133" t="s">
        <v>280</v>
      </c>
      <c r="D16">
        <v>9.1999999999999998E-2</v>
      </c>
      <c r="E16">
        <f>0.148+0.012+0.068</f>
        <v>0.22800000000000001</v>
      </c>
      <c r="F16">
        <f>0.103+0.046+0.054</f>
        <v>0.20299999999999999</v>
      </c>
      <c r="G16">
        <f>0.019+0.006+0.02</f>
        <v>4.4999999999999998E-2</v>
      </c>
      <c r="H16">
        <f>0.005+0.004+0.006</f>
        <v>1.5000000000000001E-2</v>
      </c>
      <c r="I16">
        <v>1E-3</v>
      </c>
    </row>
    <row r="17" spans="2:9" x14ac:dyDescent="0.15">
      <c r="B17" s="4" t="s">
        <v>39</v>
      </c>
      <c r="C17" s="133" t="s">
        <v>280</v>
      </c>
      <c r="D17">
        <v>5.8000000000000003E-2</v>
      </c>
      <c r="E17">
        <v>0.156</v>
      </c>
      <c r="F17">
        <v>0.51100000000000001</v>
      </c>
      <c r="G17">
        <v>0.91100000000000003</v>
      </c>
      <c r="H17">
        <v>0.96899999999999997</v>
      </c>
      <c r="I17">
        <v>0.72099999999999997</v>
      </c>
    </row>
    <row r="18" spans="2:9" x14ac:dyDescent="0.15">
      <c r="B18" s="4" t="s">
        <v>40</v>
      </c>
      <c r="C18" s="133" t="s">
        <v>280</v>
      </c>
      <c r="D18">
        <f>1-SUM(D15:D17)</f>
        <v>1.0000000000000009E-2</v>
      </c>
      <c r="E18">
        <f>1-SUM(E15:E17)</f>
        <v>2.8000000000000025E-2</v>
      </c>
      <c r="F18">
        <f t="shared" ref="F18:I18" si="0">1-SUM(F15:F17)</f>
        <v>2.0000000000000018E-2</v>
      </c>
      <c r="G18">
        <f t="shared" si="0"/>
        <v>2.0999999999999908E-2</v>
      </c>
      <c r="H18">
        <f t="shared" si="0"/>
        <v>1.6000000000000014E-2</v>
      </c>
      <c r="I18">
        <f t="shared" si="0"/>
        <v>0.27800000000000002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workbookViewId="0"/>
  </sheetViews>
  <sheetFormatPr baseColWidth="10" defaultColWidth="11.5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230</v>
      </c>
      <c r="B1" s="10" t="s">
        <v>231</v>
      </c>
      <c r="C1" s="10" t="s">
        <v>232</v>
      </c>
    </row>
    <row r="2" spans="1:3" ht="39" x14ac:dyDescent="0.15">
      <c r="A2" s="87" t="s">
        <v>233</v>
      </c>
      <c r="B2" s="92" t="s">
        <v>234</v>
      </c>
      <c r="C2" s="118">
        <v>5.6000000000000001E-2</v>
      </c>
    </row>
    <row r="3" spans="1:3" ht="52" x14ac:dyDescent="0.15">
      <c r="B3" s="88" t="s">
        <v>235</v>
      </c>
      <c r="C3" s="118">
        <v>5.0000000000000001E-3</v>
      </c>
    </row>
    <row r="4" spans="1:3" ht="52" x14ac:dyDescent="0.15">
      <c r="B4" s="88" t="s">
        <v>236</v>
      </c>
      <c r="C4" s="118">
        <v>0</v>
      </c>
    </row>
    <row r="5" spans="1:3" ht="39" x14ac:dyDescent="0.15">
      <c r="B5" s="89" t="s">
        <v>237</v>
      </c>
      <c r="C5" s="118">
        <v>0.152</v>
      </c>
    </row>
    <row r="6" spans="1:3" ht="52" x14ac:dyDescent="0.15">
      <c r="B6" s="89" t="s">
        <v>238</v>
      </c>
      <c r="C6" s="118">
        <v>0.34200000000000003</v>
      </c>
    </row>
    <row r="7" spans="1:3" ht="52" x14ac:dyDescent="0.15">
      <c r="B7" s="89" t="s">
        <v>239</v>
      </c>
      <c r="C7" s="118">
        <v>0.29899999999999999</v>
      </c>
    </row>
    <row r="8" spans="1:3" ht="26" x14ac:dyDescent="0.15">
      <c r="B8" s="90" t="s">
        <v>240</v>
      </c>
      <c r="C8" s="118">
        <v>1E-3</v>
      </c>
    </row>
    <row r="9" spans="1:3" ht="52" x14ac:dyDescent="0.15">
      <c r="B9" s="90" t="s">
        <v>241</v>
      </c>
      <c r="C9" s="118">
        <v>5.0000000000000001E-3</v>
      </c>
    </row>
    <row r="10" spans="1:3" ht="52" x14ac:dyDescent="0.15">
      <c r="B10" s="90" t="s">
        <v>242</v>
      </c>
      <c r="C10" s="118">
        <v>0.14099999999999999</v>
      </c>
    </row>
    <row r="11" spans="1:3" x14ac:dyDescent="0.15">
      <c r="C11" s="118"/>
    </row>
    <row r="12" spans="1:3" ht="26" x14ac:dyDescent="0.15">
      <c r="A12" s="87" t="s">
        <v>243</v>
      </c>
      <c r="B12" s="91" t="s">
        <v>244</v>
      </c>
      <c r="C12" s="118">
        <v>0.20799999999999999</v>
      </c>
    </row>
    <row r="13" spans="1:3" ht="26" x14ac:dyDescent="0.15">
      <c r="B13" s="91" t="s">
        <v>245</v>
      </c>
      <c r="C13" s="118">
        <v>3.5999999999999997E-2</v>
      </c>
    </row>
    <row r="14" spans="1:3" ht="26" x14ac:dyDescent="0.15">
      <c r="B14" s="91" t="s">
        <v>246</v>
      </c>
      <c r="C14" s="118">
        <v>0.11899999999999999</v>
      </c>
    </row>
    <row r="15" spans="1:3" ht="26" x14ac:dyDescent="0.15">
      <c r="B15" s="91" t="s">
        <v>247</v>
      </c>
      <c r="C15" s="118">
        <v>0.63700000000000001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Distributions data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2018-02-25T09:55:38Z</dcterms:modified>
</cp:coreProperties>
</file>