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autoCompressPictures="0"/>
  <bookViews>
    <workbookView xWindow="0" yWindow="-21135" windowWidth="28920" windowHeight="16320" tabRatio="961" activeTab="4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r:id="rId13"/>
    <sheet name="Programs target population" sheetId="21" r:id="rId14"/>
    <sheet name="Programs family planning" sheetId="54" state="hidden" r:id="rId15"/>
  </sheets>
  <definedNames>
    <definedName name="abortion" localSheetId="6">'Baseline year population inputs'!$C$37</definedName>
    <definedName name="abortion">'Baseline year population inputs'!$C$40</definedName>
    <definedName name="comm_deliv">'Treatment of SAM'!$D$3</definedName>
    <definedName name="diarrhoea_1_5mo">'Baseline year population inputs'!$C$51</definedName>
    <definedName name="diarrhoea_12_23mo">'Baseline year population inputs'!$C$53</definedName>
    <definedName name="diarrhoea_1mo">'Baseline year population inputs'!$C$50</definedName>
    <definedName name="diarrhoea_24_59mo">'Baseline year population inputs'!$C$54</definedName>
    <definedName name="diarrhoea_6_11mo">'Baseline year population inputs'!$C$52</definedName>
    <definedName name="end_year">'Baseline year population inputs'!$C$4</definedName>
    <definedName name="famplan_unmet_need">'Baseline year population inputs'!$C$12</definedName>
    <definedName name="food_insecure">'Baseline year population inputs'!$C$7</definedName>
    <definedName name="frac_children_health_facility">'Baseline year population inputs'!$C$11</definedName>
    <definedName name="frac_diarrhea_severe">'Baseline year population inputs'!$C$57</definedName>
    <definedName name="frac_maize">'Baseline year population inputs'!$C$18</definedName>
    <definedName name="frac_malaria_risk">'Baseline year population inputs'!$C$8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inputs'!$C$19</definedName>
    <definedName name="frac_PW_health_facility">'Baseline year population inputs'!$C$10</definedName>
    <definedName name="frac_rice">'Baseline year population inputs'!$C$16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inputs'!$C$15</definedName>
    <definedName name="frac_wheat">'Baseline year population inputs'!$C$17</definedName>
    <definedName name="infant_mortality">'Baseline year population inputs'!$C$37</definedName>
    <definedName name="iron_deficiency_anaemia">'Baseline year population inputs'!$C$58</definedName>
    <definedName name="manage_mam">'Treatment of SAM'!$D$2</definedName>
    <definedName name="maternal_mortality">'Baseline year population inputs'!$C$39</definedName>
    <definedName name="neonatal_mortality">'Baseline year population inputs'!$C$36</definedName>
    <definedName name="Percentage_of_pregnant_women_attending_health_facility">'Baseline year population inputs'!$C$10</definedName>
    <definedName name="preterm_AGA">'Baseline year population inputs'!$C$45</definedName>
    <definedName name="preterm_SGA">'Baseline year population inputs'!$C$44</definedName>
    <definedName name="school_attendance">'Baseline year population inputs'!$C$9</definedName>
    <definedName name="start_year">'Baseline year population inputs'!$C$3</definedName>
    <definedName name="stillbirth" localSheetId="6">'Baseline year population inputs'!$C$38</definedName>
    <definedName name="stillbirth">'Baseline year population inputs'!$C$41</definedName>
    <definedName name="term_AGA">'Baseline year population inputs'!$C$47</definedName>
    <definedName name="term_SGA">'Baseline year population inputs'!$C$46</definedName>
    <definedName name="U5_mortality">'Baseline year population inputs'!$C$38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I2" i="2" l="1"/>
  <c r="C32" i="1" l="1"/>
  <c r="A1" i="50" l="1"/>
  <c r="A1" i="5"/>
  <c r="A1" i="4"/>
  <c r="B1" i="56"/>
  <c r="D6" i="57" l="1"/>
  <c r="C6" i="57"/>
  <c r="D5" i="57"/>
  <c r="C5" i="57"/>
  <c r="D4" i="57"/>
  <c r="C4" i="57"/>
  <c r="D3" i="57"/>
  <c r="C3" i="57"/>
  <c r="C2" i="57"/>
  <c r="D17" i="56" l="1"/>
  <c r="D16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J23" i="2" s="1"/>
  <c r="H24" i="2"/>
  <c r="I24" i="2"/>
  <c r="H25" i="2"/>
  <c r="I25" i="2"/>
  <c r="J25" i="2" s="1"/>
  <c r="H26" i="2"/>
  <c r="I26" i="2"/>
  <c r="H27" i="2"/>
  <c r="I27" i="2"/>
  <c r="H28" i="2"/>
  <c r="I28" i="2"/>
  <c r="H29" i="2"/>
  <c r="I29" i="2"/>
  <c r="H30" i="2"/>
  <c r="I30" i="2"/>
  <c r="H31" i="2"/>
  <c r="I31" i="2"/>
  <c r="J31" i="2" s="1"/>
  <c r="H32" i="2"/>
  <c r="I32" i="2"/>
  <c r="H33" i="2"/>
  <c r="I33" i="2"/>
  <c r="J33" i="2" s="1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J32" i="2" l="1"/>
  <c r="J24" i="2"/>
  <c r="J39" i="2"/>
  <c r="J37" i="2"/>
  <c r="J35" i="2"/>
  <c r="J17" i="2"/>
  <c r="J40" i="2"/>
  <c r="J20" i="2"/>
  <c r="J29" i="2"/>
  <c r="J27" i="2"/>
  <c r="J16" i="2"/>
  <c r="J21" i="2"/>
  <c r="J19" i="2"/>
  <c r="J38" i="2"/>
  <c r="J22" i="2"/>
  <c r="J30" i="2"/>
  <c r="J36" i="2"/>
  <c r="J28" i="2"/>
  <c r="J34" i="2"/>
  <c r="J26" i="2"/>
  <c r="J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27" i="56" l="1"/>
  <c r="E2" i="54"/>
  <c r="E3" i="54"/>
  <c r="E4" i="54"/>
  <c r="E5" i="54"/>
  <c r="E6" i="54"/>
  <c r="E7" i="54"/>
  <c r="E8" i="54"/>
  <c r="E9" i="54"/>
  <c r="E10" i="54"/>
  <c r="D5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7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C19" i="1"/>
  <c r="H3" i="2" l="1"/>
  <c r="J3" i="2" s="1"/>
  <c r="H4" i="2"/>
  <c r="J4" i="2" s="1"/>
  <c r="H5" i="2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H14" i="2"/>
  <c r="J14" i="2" s="1"/>
  <c r="H15" i="2"/>
  <c r="H2" i="2"/>
  <c r="J5" i="2"/>
  <c r="J13" i="2" l="1"/>
  <c r="J15" i="2"/>
  <c r="J2" i="2"/>
  <c r="D15" i="56" l="1"/>
</calcChain>
</file>

<file path=xl/comments1.xml><?xml version="1.0" encoding="utf-8"?>
<comments xmlns="http://schemas.openxmlformats.org/spreadsheetml/2006/main">
  <authors>
    <author>Sam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A1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<sst xmlns="http://schemas.openxmlformats.org/spreadsheetml/2006/main" count="333" uniqueCount="205">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</sst>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3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rgb="FF000000"/>
      <name val="Cambria"/>
      <family val="1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</cellStyleXfs>
  <cellXfs count="9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9" fontId="4" fillId="2" borderId="1" xfId="10" applyFont="1" applyFill="1" applyBorder="1" applyAlignment="1"/>
    <xf numFmtId="9" fontId="4" fillId="2" borderId="1" xfId="10" applyFont="1" applyFill="1" applyBorder="1" applyAlignment="1">
      <alignment horizontal="right"/>
    </xf>
    <xf numFmtId="0" fontId="4" fillId="2" borderId="1" xfId="0" applyFont="1" applyFill="1" applyBorder="1" applyAlignment="1"/>
    <xf numFmtId="9" fontId="9" fillId="3" borderId="1" xfId="10" applyFont="1" applyFill="1" applyBorder="1" applyAlignment="1"/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4" fillId="2" borderId="1" xfId="0" applyNumberFormat="1" applyFont="1" applyFill="1" applyBorder="1" applyAlignment="1"/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10" fontId="3" fillId="2" borderId="1" xfId="0" applyNumberFormat="1" applyFont="1" applyFill="1" applyBorder="1" applyAlignment="1">
      <alignment horizontal="right"/>
    </xf>
    <xf numFmtId="1" fontId="9" fillId="3" borderId="1" xfId="9" applyNumberFormat="1" applyFont="1" applyFill="1" applyBorder="1" applyAlignment="1">
      <alignment horizontal="right"/>
    </xf>
    <xf numFmtId="10" fontId="4" fillId="2" borderId="2" xfId="0" applyNumberFormat="1" applyFont="1" applyFill="1" applyBorder="1" applyAlignment="1">
      <alignment horizontal="right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166" fontId="4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wrapText="1"/>
    </xf>
    <xf numFmtId="9" fontId="9" fillId="3" borderId="1" xfId="10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166" fontId="9" fillId="3" borderId="1" xfId="10" applyNumberFormat="1" applyFont="1" applyFill="1" applyBorder="1" applyAlignment="1">
      <alignment horizontal="right"/>
    </xf>
    <xf numFmtId="166" fontId="0" fillId="2" borderId="1" xfId="0" applyNumberFormat="1" applyFont="1" applyFill="1" applyBorder="1" applyAlignment="1"/>
    <xf numFmtId="166" fontId="4" fillId="2" borderId="1" xfId="1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2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9" fontId="3" fillId="2" borderId="1" xfId="725" applyNumberFormat="1" applyFont="1" applyFill="1" applyBorder="1" applyAlignment="1"/>
    <xf numFmtId="2" fontId="3" fillId="2" borderId="1" xfId="725" applyNumberFormat="1" applyFont="1" applyFill="1" applyBorder="1" applyAlignment="1"/>
    <xf numFmtId="2" fontId="9" fillId="3" borderId="1" xfId="725" applyNumberFormat="1" applyFont="1" applyFill="1" applyBorder="1" applyAlignment="1"/>
    <xf numFmtId="0" fontId="3" fillId="0" borderId="0" xfId="725" applyFont="1" applyFill="1" applyBorder="1" applyAlignment="1"/>
    <xf numFmtId="0" fontId="3" fillId="0" borderId="0" xfId="725" applyFont="1" applyFill="1" applyAlignment="1"/>
    <xf numFmtId="0" fontId="20" fillId="0" borderId="0" xfId="725" applyFont="1" applyAlignment="1"/>
    <xf numFmtId="0" fontId="2" fillId="0" borderId="0" xfId="725" applyFont="1" applyAlignment="1"/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0" fontId="8" fillId="0" borderId="0" xfId="0" applyFont="1" applyFill="1" applyAlignment="1"/>
    <xf numFmtId="0" fontId="9" fillId="3" borderId="1" xfId="725" applyFont="1" applyFill="1" applyBorder="1" applyAlignment="1"/>
    <xf numFmtId="0" fontId="4" fillId="0" borderId="0" xfId="725" applyFont="1" applyFill="1" applyAlignment="1">
      <alignment horizontal="right"/>
    </xf>
    <xf numFmtId="0" fontId="22" fillId="0" borderId="0" xfId="0" applyFont="1" applyFill="1" applyAlignment="1"/>
    <xf numFmtId="0" fontId="8" fillId="0" borderId="2" xfId="725" applyFont="1" applyBorder="1" applyAlignment="1"/>
    <xf numFmtId="0" fontId="4" fillId="2" borderId="1" xfId="10" applyNumberFormat="1" applyFont="1" applyFill="1" applyBorder="1" applyAlignment="1">
      <alignment horizontal="right"/>
    </xf>
    <xf numFmtId="0" fontId="4" fillId="2" borderId="1" xfId="10" applyNumberFormat="1" applyFont="1" applyFill="1" applyBorder="1" applyAlignment="1"/>
    <xf numFmtId="0" fontId="2" fillId="0" borderId="0" xfId="725" applyFont="1" applyFill="1" applyAlignment="1">
      <alignment wrapText="1"/>
    </xf>
    <xf numFmtId="0" fontId="4" fillId="2" borderId="1" xfId="725" applyNumberFormat="1" applyFont="1" applyFill="1" applyBorder="1" applyAlignment="1">
      <alignment horizontal="right" vertical="center"/>
    </xf>
    <xf numFmtId="0" fontId="21" fillId="3" borderId="4" xfId="725" applyNumberFormat="1" applyFont="1" applyFill="1" applyBorder="1" applyAlignment="1"/>
    <xf numFmtId="0" fontId="4" fillId="3" borderId="3" xfId="725" applyNumberFormat="1" applyFont="1" applyFill="1" applyBorder="1" applyAlignment="1"/>
    <xf numFmtId="0" fontId="4" fillId="3" borderId="2" xfId="725" applyNumberFormat="1" applyFont="1" applyFill="1" applyBorder="1" applyAlignment="1"/>
    <xf numFmtId="0" fontId="4" fillId="0" borderId="0" xfId="725" applyNumberFormat="1" applyFont="1" applyAlignment="1"/>
  </cellXfs>
  <cellStyles count="72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xmlns="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xmlns="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xmlns="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E62"/>
  <sheetViews>
    <sheetView topLeftCell="A39" zoomScaleNormal="100" workbookViewId="0">
      <selection activeCell="C55" sqref="C55"/>
    </sheetView>
  </sheetViews>
  <sheetFormatPr defaultColWidth="14.42578125" defaultRowHeight="15.75" customHeight="1" x14ac:dyDescent="0.2"/>
  <cols>
    <col min="1" max="1" width="27.7109375" style="15" customWidth="1"/>
    <col min="2" max="2" width="38.7109375" style="19" customWidth="1"/>
    <col min="3" max="16384" width="14.42578125" style="15"/>
  </cols>
  <sheetData>
    <row r="1" spans="1:3" ht="15.95" customHeight="1" x14ac:dyDescent="0.2">
      <c r="A1" s="1" t="s">
        <v>100</v>
      </c>
      <c r="B1" s="59" t="s">
        <v>165</v>
      </c>
      <c r="C1" s="59" t="s">
        <v>166</v>
      </c>
    </row>
    <row r="2" spans="1:3" ht="15.95" customHeight="1" x14ac:dyDescent="0.2">
      <c r="A2" s="15" t="s">
        <v>194</v>
      </c>
      <c r="B2" s="59"/>
      <c r="C2" s="59"/>
    </row>
    <row r="3" spans="1:3" ht="15.95" customHeight="1" x14ac:dyDescent="0.2">
      <c r="A3" s="1"/>
      <c r="B3" s="9" t="s">
        <v>196</v>
      </c>
      <c r="C3" s="89">
        <v>2017</v>
      </c>
    </row>
    <row r="4" spans="1:3" ht="15.95" customHeight="1" x14ac:dyDescent="0.2">
      <c r="A4" s="1"/>
      <c r="B4" s="12" t="s">
        <v>195</v>
      </c>
      <c r="C4" s="90">
        <v>2030</v>
      </c>
    </row>
    <row r="5" spans="1:3" ht="15.95" customHeight="1" x14ac:dyDescent="0.2">
      <c r="A5" s="1"/>
      <c r="B5" s="59"/>
      <c r="C5" s="59"/>
    </row>
    <row r="6" spans="1:3" ht="15" customHeight="1" x14ac:dyDescent="0.2">
      <c r="A6" s="15" t="s">
        <v>48</v>
      </c>
    </row>
    <row r="7" spans="1:3" ht="15" customHeight="1" x14ac:dyDescent="0.2">
      <c r="B7" s="9" t="s">
        <v>106</v>
      </c>
      <c r="C7" s="24">
        <v>0.28199999999999997</v>
      </c>
    </row>
    <row r="8" spans="1:3" ht="15" customHeight="1" x14ac:dyDescent="0.2">
      <c r="B8" s="12" t="s">
        <v>107</v>
      </c>
      <c r="C8" s="23">
        <v>1</v>
      </c>
    </row>
    <row r="9" spans="1:3" ht="15" customHeight="1" x14ac:dyDescent="0.2">
      <c r="B9" s="12" t="s">
        <v>105</v>
      </c>
      <c r="C9" s="23">
        <v>0.23</v>
      </c>
    </row>
    <row r="10" spans="1:3" ht="15" customHeight="1" x14ac:dyDescent="0.2">
      <c r="B10" s="9" t="s">
        <v>108</v>
      </c>
      <c r="C10" s="24">
        <v>0.51</v>
      </c>
    </row>
    <row r="11" spans="1:3" ht="15" customHeight="1" x14ac:dyDescent="0.2">
      <c r="B11" s="9" t="s">
        <v>109</v>
      </c>
      <c r="C11" s="24">
        <v>0.37</v>
      </c>
    </row>
    <row r="12" spans="1:3" ht="15" customHeight="1" x14ac:dyDescent="0.2">
      <c r="B12" s="9" t="s">
        <v>110</v>
      </c>
      <c r="C12" s="24">
        <v>0.221</v>
      </c>
    </row>
    <row r="13" spans="1:3" ht="15" customHeight="1" x14ac:dyDescent="0.2">
      <c r="B13" s="15"/>
    </row>
    <row r="14" spans="1:3" ht="15" customHeight="1" x14ac:dyDescent="0.2">
      <c r="A14" s="15" t="s">
        <v>30</v>
      </c>
      <c r="B14" s="22"/>
      <c r="C14" s="3"/>
    </row>
    <row r="15" spans="1:3" ht="15" customHeight="1" x14ac:dyDescent="0.2">
      <c r="B15" s="12" t="s">
        <v>94</v>
      </c>
      <c r="C15" s="23">
        <v>0.3</v>
      </c>
    </row>
    <row r="16" spans="1:3" ht="15" customHeight="1" x14ac:dyDescent="0.2">
      <c r="B16" s="12" t="s">
        <v>95</v>
      </c>
      <c r="C16" s="23">
        <v>0</v>
      </c>
    </row>
    <row r="17" spans="1:3" ht="15" customHeight="1" x14ac:dyDescent="0.2">
      <c r="B17" s="12" t="s">
        <v>96</v>
      </c>
      <c r="C17" s="23">
        <v>0</v>
      </c>
    </row>
    <row r="18" spans="1:3" ht="15" customHeight="1" x14ac:dyDescent="0.2">
      <c r="B18" s="12" t="s">
        <v>97</v>
      </c>
      <c r="C18" s="23">
        <v>0.8</v>
      </c>
    </row>
    <row r="19" spans="1:3" ht="15" customHeight="1" x14ac:dyDescent="0.2">
      <c r="B19" s="12" t="s">
        <v>98</v>
      </c>
      <c r="C19" s="26">
        <f>1-frac_rice-frac_wheat-frac_maize</f>
        <v>0.19999999999999996</v>
      </c>
    </row>
    <row r="20" spans="1:3" ht="15" customHeight="1" x14ac:dyDescent="0.2">
      <c r="B20" s="15"/>
    </row>
    <row r="21" spans="1:3" ht="15" customHeight="1" x14ac:dyDescent="0.2">
      <c r="A21" s="15" t="s">
        <v>99</v>
      </c>
    </row>
    <row r="22" spans="1:3" ht="15" customHeight="1" x14ac:dyDescent="0.2">
      <c r="B22" s="27" t="s">
        <v>101</v>
      </c>
      <c r="C22" s="23">
        <v>0.127</v>
      </c>
    </row>
    <row r="23" spans="1:3" ht="15" customHeight="1" x14ac:dyDescent="0.2">
      <c r="B23" s="27" t="s">
        <v>102</v>
      </c>
      <c r="C23" s="23">
        <v>0.45200000000000001</v>
      </c>
    </row>
    <row r="24" spans="1:3" ht="15" customHeight="1" x14ac:dyDescent="0.2">
      <c r="B24" s="27" t="s">
        <v>103</v>
      </c>
      <c r="C24" s="23">
        <v>0.33400000000000002</v>
      </c>
    </row>
    <row r="25" spans="1:3" ht="15" customHeight="1" x14ac:dyDescent="0.2">
      <c r="B25" s="27" t="s">
        <v>104</v>
      </c>
      <c r="C25" s="23">
        <v>8.6999999999999994E-2</v>
      </c>
    </row>
    <row r="26" spans="1:3" ht="15" customHeight="1" x14ac:dyDescent="0.2">
      <c r="B26" s="27"/>
      <c r="C26" s="27"/>
    </row>
    <row r="27" spans="1:3" ht="15" customHeight="1" x14ac:dyDescent="0.2">
      <c r="A27" s="15" t="s">
        <v>199</v>
      </c>
      <c r="B27" s="27"/>
      <c r="C27" s="27"/>
    </row>
    <row r="28" spans="1:3" ht="14.25" customHeight="1" x14ac:dyDescent="0.2">
      <c r="B28" s="41" t="s">
        <v>75</v>
      </c>
      <c r="C28" s="42">
        <v>0.20799999999999999</v>
      </c>
    </row>
    <row r="29" spans="1:3" ht="14.25" customHeight="1" x14ac:dyDescent="0.2">
      <c r="B29" s="41" t="s">
        <v>76</v>
      </c>
      <c r="C29" s="42">
        <v>0.63700000000000001</v>
      </c>
    </row>
    <row r="30" spans="1:3" ht="14.25" customHeight="1" x14ac:dyDescent="0.2">
      <c r="B30" s="41" t="s">
        <v>77</v>
      </c>
      <c r="C30" s="42">
        <v>0.11899999999999999</v>
      </c>
    </row>
    <row r="31" spans="1:3" ht="14.25" customHeight="1" x14ac:dyDescent="0.2">
      <c r="B31" s="41" t="s">
        <v>78</v>
      </c>
      <c r="C31" s="42">
        <v>3.5999999999999997E-2</v>
      </c>
    </row>
    <row r="32" spans="1:3" ht="12.75" x14ac:dyDescent="0.2">
      <c r="B32" s="45" t="s">
        <v>130</v>
      </c>
      <c r="C32" s="44">
        <f>SUM(C28:C31)</f>
        <v>1</v>
      </c>
    </row>
    <row r="33" spans="1:5" ht="15" customHeight="1" x14ac:dyDescent="0.2"/>
    <row r="34" spans="1:5" ht="15" customHeight="1" x14ac:dyDescent="0.2">
      <c r="A34" s="4" t="s">
        <v>136</v>
      </c>
    </row>
    <row r="35" spans="1:5" ht="15" customHeight="1" x14ac:dyDescent="0.2">
      <c r="A35" s="15" t="s">
        <v>74</v>
      </c>
      <c r="B35" s="9"/>
      <c r="C35" s="16"/>
    </row>
    <row r="36" spans="1:5" ht="15" customHeight="1" x14ac:dyDescent="0.2">
      <c r="B36" s="60" t="s">
        <v>92</v>
      </c>
      <c r="C36" s="25">
        <v>25</v>
      </c>
    </row>
    <row r="37" spans="1:5" ht="15" customHeight="1" x14ac:dyDescent="0.2">
      <c r="B37" s="19" t="s">
        <v>91</v>
      </c>
      <c r="C37" s="25">
        <v>43</v>
      </c>
      <c r="D37" s="20"/>
      <c r="E37" s="21"/>
    </row>
    <row r="38" spans="1:5" ht="15" customHeight="1" x14ac:dyDescent="0.2">
      <c r="B38" s="19" t="s">
        <v>90</v>
      </c>
      <c r="C38" s="25">
        <v>67</v>
      </c>
      <c r="D38" s="20"/>
      <c r="E38" s="20"/>
    </row>
    <row r="39" spans="1:5" ht="15" customHeight="1" x14ac:dyDescent="0.2">
      <c r="B39" s="19" t="s">
        <v>172</v>
      </c>
      <c r="C39" s="25">
        <v>4.01</v>
      </c>
    </row>
    <row r="40" spans="1:5" ht="15" customHeight="1" x14ac:dyDescent="0.2">
      <c r="B40" s="19" t="s">
        <v>89</v>
      </c>
      <c r="C40" s="23">
        <v>0.13</v>
      </c>
    </row>
    <row r="41" spans="1:5" ht="15" customHeight="1" x14ac:dyDescent="0.2">
      <c r="B41" s="60" t="s">
        <v>93</v>
      </c>
      <c r="C41" s="25">
        <v>22.4</v>
      </c>
    </row>
    <row r="42" spans="1:5" ht="15.75" customHeight="1" x14ac:dyDescent="0.2">
      <c r="D42" s="20"/>
    </row>
    <row r="43" spans="1:5" ht="15.75" customHeight="1" x14ac:dyDescent="0.2">
      <c r="A43" s="15" t="s">
        <v>134</v>
      </c>
      <c r="D43" s="20"/>
    </row>
    <row r="44" spans="1:5" ht="15.75" customHeight="1" x14ac:dyDescent="0.2">
      <c r="B44" s="19" t="s">
        <v>9</v>
      </c>
      <c r="C44" s="23">
        <v>3.1E-2</v>
      </c>
      <c r="D44" s="20"/>
    </row>
    <row r="45" spans="1:5" ht="15.75" customHeight="1" x14ac:dyDescent="0.2">
      <c r="B45" s="19" t="s">
        <v>11</v>
      </c>
      <c r="C45" s="23">
        <v>0.109</v>
      </c>
      <c r="D45" s="20"/>
    </row>
    <row r="46" spans="1:5" ht="15.75" customHeight="1" x14ac:dyDescent="0.2">
      <c r="B46" s="19" t="s">
        <v>12</v>
      </c>
      <c r="C46" s="23">
        <v>0.36499999999999999</v>
      </c>
      <c r="D46" s="20"/>
      <c r="E46" s="21"/>
    </row>
    <row r="47" spans="1:5" ht="15" customHeight="1" x14ac:dyDescent="0.2">
      <c r="B47" s="19" t="s">
        <v>26</v>
      </c>
      <c r="C47" s="26">
        <f>1-term_SGA-preterm_AGA-preterm_SGA</f>
        <v>0.495</v>
      </c>
      <c r="D47" s="20"/>
      <c r="E47" s="20"/>
    </row>
    <row r="48" spans="1:5" ht="15.75" customHeight="1" x14ac:dyDescent="0.2">
      <c r="D48" s="20"/>
    </row>
    <row r="49" spans="1:4" ht="15.75" customHeight="1" x14ac:dyDescent="0.2">
      <c r="A49" s="15" t="s">
        <v>72</v>
      </c>
      <c r="D49" s="20"/>
    </row>
    <row r="50" spans="1:4" ht="15.75" customHeight="1" x14ac:dyDescent="0.2">
      <c r="B50" s="19" t="s">
        <v>125</v>
      </c>
      <c r="C50" s="7">
        <v>1.66</v>
      </c>
      <c r="D50" s="20"/>
    </row>
    <row r="51" spans="1:4" ht="15" customHeight="1" x14ac:dyDescent="0.2">
      <c r="B51" s="19" t="s">
        <v>126</v>
      </c>
      <c r="C51" s="7">
        <v>1.66</v>
      </c>
    </row>
    <row r="52" spans="1:4" ht="15.75" customHeight="1" x14ac:dyDescent="0.2">
      <c r="B52" s="19" t="s">
        <v>127</v>
      </c>
      <c r="C52" s="7">
        <v>5.64</v>
      </c>
    </row>
    <row r="53" spans="1:4" ht="15.75" customHeight="1" x14ac:dyDescent="0.2">
      <c r="B53" s="19" t="s">
        <v>128</v>
      </c>
      <c r="C53" s="7">
        <v>5.43</v>
      </c>
    </row>
    <row r="54" spans="1:4" ht="15.75" customHeight="1" x14ac:dyDescent="0.2">
      <c r="B54" s="19" t="s">
        <v>129</v>
      </c>
      <c r="C54" s="7">
        <v>1.91</v>
      </c>
    </row>
    <row r="56" spans="1:4" ht="15.75" customHeight="1" x14ac:dyDescent="0.2">
      <c r="A56" s="15" t="s">
        <v>135</v>
      </c>
    </row>
    <row r="57" spans="1:4" ht="15.75" customHeight="1" x14ac:dyDescent="0.2">
      <c r="B57" s="9" t="s">
        <v>111</v>
      </c>
      <c r="C57" s="24">
        <v>0.2</v>
      </c>
    </row>
    <row r="58" spans="1:4" ht="15.75" customHeight="1" x14ac:dyDescent="0.2">
      <c r="B58" s="19" t="s">
        <v>133</v>
      </c>
      <c r="C58" s="24">
        <v>0.42</v>
      </c>
    </row>
    <row r="62" spans="1:4" ht="15.75" customHeight="1" x14ac:dyDescent="0.2">
      <c r="A62" s="4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9"/>
  <sheetViews>
    <sheetView workbookViewId="0">
      <selection activeCell="A2" sqref="A2"/>
    </sheetView>
  </sheetViews>
  <sheetFormatPr defaultColWidth="10.85546875" defaultRowHeight="15" x14ac:dyDescent="0.25"/>
  <cols>
    <col min="1" max="1" width="18.7109375" style="78" customWidth="1"/>
    <col min="2" max="16384" width="10.85546875" style="78"/>
  </cols>
  <sheetData>
    <row r="1" spans="1:5" ht="51.75" x14ac:dyDescent="0.25">
      <c r="A1" s="83" t="s">
        <v>197</v>
      </c>
      <c r="B1" s="82" t="s">
        <v>178</v>
      </c>
      <c r="C1" s="82" t="s">
        <v>177</v>
      </c>
      <c r="D1" s="82" t="s">
        <v>176</v>
      </c>
      <c r="E1" s="82" t="s">
        <v>175</v>
      </c>
    </row>
    <row r="2" spans="1:5" x14ac:dyDescent="0.25">
      <c r="A2" s="81" t="s">
        <v>165</v>
      </c>
      <c r="B2" s="80" t="s">
        <v>32</v>
      </c>
      <c r="C2" s="70">
        <f>1.5*0.61</f>
        <v>0.91500000000000004</v>
      </c>
      <c r="D2" s="70">
        <v>3.78</v>
      </c>
      <c r="E2" s="70">
        <v>0.05</v>
      </c>
    </row>
    <row r="3" spans="1:5" x14ac:dyDescent="0.25">
      <c r="A3" s="80"/>
      <c r="B3" s="80" t="s">
        <v>1</v>
      </c>
      <c r="C3" s="70">
        <f>1.5*0.61</f>
        <v>0.91500000000000004</v>
      </c>
      <c r="D3" s="70">
        <f t="shared" ref="D3:D6" si="0">10.49/4</f>
        <v>2.6225000000000001</v>
      </c>
      <c r="E3" s="70">
        <v>0.05</v>
      </c>
    </row>
    <row r="4" spans="1:5" x14ac:dyDescent="0.25">
      <c r="A4" s="80"/>
      <c r="B4" s="80" t="s">
        <v>2</v>
      </c>
      <c r="C4" s="70">
        <f>1.5*0.61</f>
        <v>0.91500000000000004</v>
      </c>
      <c r="D4" s="70">
        <f t="shared" si="0"/>
        <v>2.6225000000000001</v>
      </c>
      <c r="E4" s="70">
        <v>0.05</v>
      </c>
    </row>
    <row r="5" spans="1:5" x14ac:dyDescent="0.25">
      <c r="A5" s="80"/>
      <c r="B5" s="80" t="s">
        <v>3</v>
      </c>
      <c r="C5" s="70">
        <f>1.5*0.61</f>
        <v>0.91500000000000004</v>
      </c>
      <c r="D5" s="70">
        <f t="shared" si="0"/>
        <v>2.6225000000000001</v>
      </c>
      <c r="E5" s="70">
        <v>0.05</v>
      </c>
    </row>
    <row r="6" spans="1:5" x14ac:dyDescent="0.25">
      <c r="A6" s="80"/>
      <c r="B6" s="80" t="s">
        <v>4</v>
      </c>
      <c r="C6" s="70">
        <f>1.5*0.61</f>
        <v>0.91500000000000004</v>
      </c>
      <c r="D6" s="70">
        <f t="shared" si="0"/>
        <v>2.6225000000000001</v>
      </c>
      <c r="E6" s="70">
        <v>0.05</v>
      </c>
    </row>
    <row r="9" spans="1:5" x14ac:dyDescent="0.25">
      <c r="C9" s="7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18"/>
  <sheetViews>
    <sheetView workbookViewId="0">
      <selection activeCell="C4" sqref="C4"/>
    </sheetView>
  </sheetViews>
  <sheetFormatPr defaultColWidth="11.42578125" defaultRowHeight="12.75" x14ac:dyDescent="0.2"/>
  <cols>
    <col min="1" max="1" width="53" style="68" bestFit="1" customWidth="1"/>
    <col min="2" max="2" width="47.85546875" style="53" customWidth="1"/>
    <col min="3" max="3" width="42.42578125" style="53" customWidth="1"/>
    <col min="4" max="16384" width="11.42578125" style="53"/>
  </cols>
  <sheetData>
    <row r="1" spans="1:3" x14ac:dyDescent="0.2">
      <c r="A1" s="58" t="s">
        <v>69</v>
      </c>
      <c r="B1" s="58" t="s">
        <v>181</v>
      </c>
      <c r="C1" s="58" t="s">
        <v>180</v>
      </c>
    </row>
    <row r="2" spans="1:3" x14ac:dyDescent="0.2">
      <c r="A2" s="14" t="s">
        <v>188</v>
      </c>
      <c r="B2" s="64" t="s">
        <v>59</v>
      </c>
      <c r="C2" s="64"/>
    </row>
    <row r="3" spans="1:3" x14ac:dyDescent="0.2">
      <c r="A3" s="14" t="s">
        <v>193</v>
      </c>
      <c r="B3" s="64" t="s">
        <v>59</v>
      </c>
      <c r="C3" s="64"/>
    </row>
    <row r="4" spans="1:3" x14ac:dyDescent="0.2">
      <c r="A4" s="68" t="s">
        <v>58</v>
      </c>
      <c r="B4" s="64" t="s">
        <v>137</v>
      </c>
      <c r="C4" s="64"/>
    </row>
    <row r="5" spans="1:3" x14ac:dyDescent="0.2">
      <c r="A5" s="68" t="s">
        <v>138</v>
      </c>
      <c r="B5" s="64" t="s">
        <v>137</v>
      </c>
      <c r="C5" s="64"/>
    </row>
    <row r="11" spans="1:3" x14ac:dyDescent="0.2">
      <c r="A11" s="49"/>
    </row>
    <row r="12" spans="1:3" x14ac:dyDescent="0.2">
      <c r="A12" s="49"/>
    </row>
    <row r="13" spans="1:3" x14ac:dyDescent="0.2">
      <c r="A13" s="49"/>
    </row>
    <row r="14" spans="1:3" x14ac:dyDescent="0.2">
      <c r="A14" s="49"/>
    </row>
    <row r="15" spans="1:3" x14ac:dyDescent="0.2">
      <c r="A15" s="49"/>
    </row>
    <row r="16" spans="1:3" x14ac:dyDescent="0.2">
      <c r="A16" s="49"/>
    </row>
    <row r="17" spans="1:1" x14ac:dyDescent="0.2">
      <c r="A17" s="49"/>
    </row>
    <row r="18" spans="1:1" x14ac:dyDescent="0.2">
      <c r="A18" s="4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53" customWidth="1"/>
    <col min="2" max="16384" width="11.42578125" style="53"/>
  </cols>
  <sheetData>
    <row r="1" spans="1:1" x14ac:dyDescent="0.2">
      <c r="A1" s="58" t="s">
        <v>69</v>
      </c>
    </row>
    <row r="2" spans="1:1" x14ac:dyDescent="0.2">
      <c r="A2" s="64" t="s">
        <v>200</v>
      </c>
    </row>
    <row r="3" spans="1:1" x14ac:dyDescent="0.2">
      <c r="A3" s="64" t="s">
        <v>57</v>
      </c>
    </row>
    <row r="4" spans="1:1" x14ac:dyDescent="0.2">
      <c r="A4" s="64" t="s">
        <v>34</v>
      </c>
    </row>
    <row r="5" spans="1:1" x14ac:dyDescent="0.2">
      <c r="A5" s="64" t="s">
        <v>83</v>
      </c>
    </row>
    <row r="6" spans="1:1" x14ac:dyDescent="0.2">
      <c r="A6" s="64" t="s">
        <v>82</v>
      </c>
    </row>
    <row r="7" spans="1:1" x14ac:dyDescent="0.2">
      <c r="A7" s="64" t="s">
        <v>81</v>
      </c>
    </row>
    <row r="8" spans="1:1" x14ac:dyDescent="0.2">
      <c r="A8" s="64" t="s">
        <v>79</v>
      </c>
    </row>
    <row r="9" spans="1:1" x14ac:dyDescent="0.2">
      <c r="A9" s="64" t="s">
        <v>80</v>
      </c>
    </row>
    <row r="10" spans="1:1" x14ac:dyDescent="0.2">
      <c r="A10" s="64"/>
    </row>
    <row r="11" spans="1:1" x14ac:dyDescent="0.2">
      <c r="A11" s="64"/>
    </row>
    <row r="12" spans="1:1" x14ac:dyDescent="0.2">
      <c r="A12" s="64"/>
    </row>
    <row r="13" spans="1:1" x14ac:dyDescent="0.2">
      <c r="A13" s="64"/>
    </row>
    <row r="14" spans="1:1" x14ac:dyDescent="0.2">
      <c r="A14" s="64"/>
    </row>
    <row r="15" spans="1:1" x14ac:dyDescent="0.2">
      <c r="A15" s="64"/>
    </row>
    <row r="16" spans="1:1" x14ac:dyDescent="0.2">
      <c r="A16" s="64"/>
    </row>
    <row r="17" spans="1:1" x14ac:dyDescent="0.2">
      <c r="A17" s="64"/>
    </row>
    <row r="18" spans="1:1" x14ac:dyDescent="0.2">
      <c r="A18" s="64"/>
    </row>
    <row r="19" spans="1:1" x14ac:dyDescent="0.2">
      <c r="A19" s="64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B4" sqref="B4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">
      <c r="A2" s="3" t="s">
        <v>71</v>
      </c>
      <c r="B2" s="37">
        <f>'Baseline year population inputs'!C50</f>
        <v>1.66</v>
      </c>
      <c r="C2" s="37">
        <f>'Baseline year population inputs'!C51</f>
        <v>1.66</v>
      </c>
      <c r="D2" s="37">
        <f>'Baseline year population inputs'!C52</f>
        <v>5.64</v>
      </c>
      <c r="E2" s="37">
        <f>'Baseline year population inputs'!C53</f>
        <v>5.43</v>
      </c>
      <c r="F2" s="37">
        <f>'Baseline year population inputs'!C54</f>
        <v>1.91</v>
      </c>
    </row>
    <row r="3" spans="1:6" ht="15.75" customHeight="1" x14ac:dyDescent="0.2">
      <c r="A3" s="3" t="s">
        <v>65</v>
      </c>
      <c r="B3" s="37">
        <f>frac_mam_1month * 2.6</f>
        <v>0.1404</v>
      </c>
      <c r="C3" s="37">
        <f>frac_mam_1_5months * 2.6</f>
        <v>0.1404</v>
      </c>
      <c r="D3" s="37">
        <f>frac_mam_6_11months * 2.6</f>
        <v>0.14045866666666668</v>
      </c>
      <c r="E3" s="37">
        <f>frac_mam_12_23months * 2.6</f>
        <v>0.11062404115996258</v>
      </c>
      <c r="F3" s="37">
        <f>frac_mam_24_59months * 2.6</f>
        <v>5.8059717622450747E-2</v>
      </c>
    </row>
    <row r="4" spans="1:6" ht="15.75" customHeight="1" x14ac:dyDescent="0.2">
      <c r="A4" s="3" t="s">
        <v>66</v>
      </c>
      <c r="B4" s="37">
        <f>frac_sam_1month * 2.6</f>
        <v>0.10400000000000001</v>
      </c>
      <c r="C4" s="37">
        <f>frac_sam_1_5months * 2.6</f>
        <v>0.10400000000000001</v>
      </c>
      <c r="D4" s="37">
        <f>frac_sam_6_11months * 2.6</f>
        <v>4.0885333333333343E-2</v>
      </c>
      <c r="E4" s="37">
        <f>frac_sam_12_23months * 2.6</f>
        <v>2.6248082319925165E-2</v>
      </c>
      <c r="F4" s="37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zoomScale="85" zoomScaleNormal="118" workbookViewId="0">
      <selection activeCell="C11" sqref="C11:G11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">
      <c r="A2" s="4" t="s">
        <v>31</v>
      </c>
      <c r="B2" s="14" t="s">
        <v>61</v>
      </c>
      <c r="C2" s="51">
        <v>0</v>
      </c>
      <c r="D2" s="51">
        <f>food_insecure</f>
        <v>0.28199999999999997</v>
      </c>
      <c r="E2" s="51">
        <f>food_insecure</f>
        <v>0.28199999999999997</v>
      </c>
      <c r="F2" s="51">
        <f>food_insecure</f>
        <v>0.28199999999999997</v>
      </c>
      <c r="G2" s="51">
        <f>food_insecure</f>
        <v>0.28199999999999997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">
      <c r="B3" s="9" t="s">
        <v>150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">
      <c r="B4" s="9" t="s">
        <v>198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">
      <c r="B5" s="14" t="s">
        <v>137</v>
      </c>
      <c r="C5" s="51">
        <v>0</v>
      </c>
      <c r="D5" s="51">
        <v>0</v>
      </c>
      <c r="E5" s="51">
        <f>food_insecure</f>
        <v>0.28199999999999997</v>
      </c>
      <c r="F5" s="51">
        <f>food_insecure</f>
        <v>0.28199999999999997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">
      <c r="B6" s="14" t="s">
        <v>138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">
      <c r="B7" s="49" t="s">
        <v>84</v>
      </c>
      <c r="C7" s="51">
        <f>diarrhoea_1mo/26</f>
        <v>6.3846153846153844E-2</v>
      </c>
      <c r="D7" s="51">
        <f>diarrhoea_1_5mo/26</f>
        <v>6.3846153846153844E-2</v>
      </c>
      <c r="E7" s="51">
        <f>diarrhoea_6_11mo/26</f>
        <v>0.21692307692307691</v>
      </c>
      <c r="F7" s="51">
        <f>diarrhoea_12_23mo/26</f>
        <v>0.20884615384615385</v>
      </c>
      <c r="G7" s="51">
        <f>diarrhoea_24_59mo/26</f>
        <v>7.3461538461538453E-2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">
      <c r="B8" s="14" t="s">
        <v>58</v>
      </c>
      <c r="C8" s="51">
        <v>0</v>
      </c>
      <c r="D8" s="51">
        <v>0</v>
      </c>
      <c r="E8" s="51">
        <f>food_insecure</f>
        <v>0.28199999999999997</v>
      </c>
      <c r="F8" s="51">
        <f>food_insecure</f>
        <v>0.28199999999999997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">
      <c r="B9" s="14" t="s">
        <v>67</v>
      </c>
      <c r="C9" s="51">
        <v>0</v>
      </c>
      <c r="D9" s="51">
        <f>IF(ISBLANK(comm_deliv), frac_children_health_facility,1)</f>
        <v>0.37</v>
      </c>
      <c r="E9" s="51">
        <f>IF(ISBLANK(comm_deliv), frac_children_health_facility,1)</f>
        <v>0.37</v>
      </c>
      <c r="F9" s="51">
        <f>IF(ISBLANK(comm_deliv), frac_children_health_facility,1)</f>
        <v>0.37</v>
      </c>
      <c r="G9" s="51">
        <f>IF(ISBLANK(comm_deliv), frac_children_health_facility,1)</f>
        <v>0.37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" customHeight="1" x14ac:dyDescent="0.2">
      <c r="B10" s="14" t="s">
        <v>28</v>
      </c>
      <c r="C10" s="51">
        <v>0</v>
      </c>
      <c r="D10" s="51">
        <v>0</v>
      </c>
      <c r="E10" s="51">
        <v>1</v>
      </c>
      <c r="F10" s="51">
        <v>1</v>
      </c>
      <c r="G10" s="51">
        <v>1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.75" customHeight="1" x14ac:dyDescent="0.2">
      <c r="B11" s="49" t="s">
        <v>85</v>
      </c>
      <c r="C11" s="51">
        <f>diarrhoea_1mo/26</f>
        <v>6.3846153846153844E-2</v>
      </c>
      <c r="D11" s="51">
        <f>diarrhoea_1_5mo/26</f>
        <v>6.3846153846153844E-2</v>
      </c>
      <c r="E11" s="51">
        <f>diarrhoea_6_11mo/26</f>
        <v>0.21692307692307691</v>
      </c>
      <c r="F11" s="51">
        <f>diarrhoea_12_23mo/26</f>
        <v>0.20884615384615385</v>
      </c>
      <c r="G11" s="51">
        <f>diarrhoea_24_59mo/26</f>
        <v>7.3461538461538453E-2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">
      <c r="B12" s="14" t="s">
        <v>60</v>
      </c>
      <c r="C12" s="51">
        <v>0</v>
      </c>
      <c r="D12" s="51">
        <v>0</v>
      </c>
      <c r="E12" s="51">
        <v>1</v>
      </c>
      <c r="F12" s="51">
        <v>1</v>
      </c>
      <c r="G12" s="51">
        <v>1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">
      <c r="B13" s="49"/>
    </row>
    <row r="14" spans="1:15" ht="15.75" customHeight="1" x14ac:dyDescent="0.2">
      <c r="A14" s="4" t="s">
        <v>32</v>
      </c>
      <c r="B14" s="49" t="s">
        <v>29</v>
      </c>
      <c r="C14" s="52">
        <v>0</v>
      </c>
      <c r="D14" s="52">
        <v>0</v>
      </c>
      <c r="E14" s="52">
        <v>0</v>
      </c>
      <c r="F14" s="52">
        <v>0</v>
      </c>
      <c r="G14" s="52">
        <v>0</v>
      </c>
      <c r="H14" s="51">
        <f>food_insecure</f>
        <v>0.28199999999999997</v>
      </c>
      <c r="I14" s="51">
        <f>food_insecure</f>
        <v>0.28199999999999997</v>
      </c>
      <c r="J14" s="51">
        <f>food_insecure</f>
        <v>0.28199999999999997</v>
      </c>
      <c r="K14" s="51">
        <f>food_insecure</f>
        <v>0.28199999999999997</v>
      </c>
      <c r="L14" s="52">
        <v>0</v>
      </c>
      <c r="M14" s="52">
        <v>0</v>
      </c>
      <c r="N14" s="52">
        <v>0</v>
      </c>
      <c r="O14" s="52">
        <v>0</v>
      </c>
    </row>
    <row r="15" spans="1:15" ht="15.75" customHeight="1" x14ac:dyDescent="0.2">
      <c r="A15" s="4"/>
      <c r="B15" s="14" t="s">
        <v>86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v>1</v>
      </c>
      <c r="I15" s="51">
        <v>1</v>
      </c>
      <c r="J15" s="51">
        <v>1</v>
      </c>
      <c r="K15" s="51">
        <v>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2">
      <c r="A16" s="4"/>
      <c r="B16" s="14" t="s">
        <v>188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f xml:space="preserve"> 1</f>
        <v>1</v>
      </c>
      <c r="I16" s="51">
        <f xml:space="preserve"> 1</f>
        <v>1</v>
      </c>
      <c r="J16" s="51">
        <f xml:space="preserve"> 1</f>
        <v>1</v>
      </c>
      <c r="K16" s="51">
        <f xml:space="preserve"> 1</f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2">
      <c r="A17" s="4"/>
      <c r="B17" s="14" t="s">
        <v>193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frac_PW_health_facility</f>
        <v>0.51</v>
      </c>
      <c r="I17" s="51">
        <f>frac_PW_health_facility</f>
        <v>0.51</v>
      </c>
      <c r="J17" s="51">
        <f>frac_PW_health_facility</f>
        <v>0.51</v>
      </c>
      <c r="K17" s="51">
        <f>frac_PW_health_facility</f>
        <v>0.51</v>
      </c>
      <c r="L17" s="52">
        <v>0</v>
      </c>
      <c r="M17" s="52">
        <v>0</v>
      </c>
      <c r="N17" s="52">
        <v>0</v>
      </c>
      <c r="O17" s="52">
        <v>0</v>
      </c>
    </row>
    <row r="18" spans="1:15" ht="15" customHeight="1" x14ac:dyDescent="0.2">
      <c r="B18" s="49" t="s">
        <v>57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frac_malaria_risk</f>
        <v>1</v>
      </c>
      <c r="I18" s="51">
        <f>frac_malaria_risk</f>
        <v>1</v>
      </c>
      <c r="J18" s="51">
        <f>frac_malaria_risk</f>
        <v>1</v>
      </c>
      <c r="K18" s="51">
        <f>frac_malaria_risk</f>
        <v>1</v>
      </c>
      <c r="L18" s="52">
        <v>0</v>
      </c>
      <c r="M18" s="52">
        <v>0</v>
      </c>
      <c r="N18" s="52">
        <v>0</v>
      </c>
      <c r="O18" s="52">
        <v>0</v>
      </c>
    </row>
    <row r="19" spans="1:15" ht="15.75" customHeight="1" x14ac:dyDescent="0.2">
      <c r="B19" s="14" t="s">
        <v>88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v>1</v>
      </c>
      <c r="I19" s="51">
        <v>1</v>
      </c>
      <c r="J19" s="51">
        <v>1</v>
      </c>
      <c r="K19" s="51">
        <v>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">
      <c r="B20" s="14" t="s">
        <v>87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">
      <c r="B21" s="49" t="s">
        <v>59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f>1</f>
        <v>1</v>
      </c>
      <c r="I21" s="51">
        <f>1</f>
        <v>1</v>
      </c>
      <c r="J21" s="51">
        <f>1</f>
        <v>1</v>
      </c>
      <c r="K21" s="51">
        <f>1</f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">
      <c r="B22" s="49"/>
    </row>
    <row r="23" spans="1:15" ht="15.75" customHeight="1" x14ac:dyDescent="0.2">
      <c r="A23" s="84" t="s">
        <v>37</v>
      </c>
      <c r="B23" s="86" t="s">
        <v>200</v>
      </c>
      <c r="C23" s="52">
        <v>0</v>
      </c>
      <c r="D23" s="52">
        <v>0</v>
      </c>
      <c r="E23" s="52">
        <v>0</v>
      </c>
      <c r="F23" s="52">
        <v>0</v>
      </c>
      <c r="G23" s="52">
        <v>0</v>
      </c>
      <c r="H23" s="52">
        <v>0</v>
      </c>
      <c r="I23" s="52">
        <v>0</v>
      </c>
      <c r="J23" s="52">
        <v>0</v>
      </c>
      <c r="K23" s="52">
        <v>0</v>
      </c>
      <c r="L23" s="51">
        <v>1</v>
      </c>
      <c r="M23" s="51">
        <v>1</v>
      </c>
      <c r="N23" s="51">
        <v>1</v>
      </c>
      <c r="O23" s="51">
        <v>1</v>
      </c>
    </row>
    <row r="24" spans="1:15" ht="15.75" customHeight="1" x14ac:dyDescent="0.2">
      <c r="B24" s="86" t="s">
        <v>189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(1-food_insecure)*(0.49)*(1-school_attendance) + food_insecure*(0.7)*(1-school_attendance)</f>
        <v>0.42289939999999993</v>
      </c>
      <c r="M24" s="51">
        <f>(1-food_insecure)*(0.49)+food_insecure*(0.7)</f>
        <v>0.54921999999999993</v>
      </c>
      <c r="N24" s="51">
        <f>(1-food_insecure)*(0.49)+food_insecure*(0.7)</f>
        <v>0.54921999999999993</v>
      </c>
      <c r="O24" s="51">
        <f>(1-food_insecure)*(0.49)+food_insecure*(0.7)</f>
        <v>0.54921999999999993</v>
      </c>
    </row>
    <row r="25" spans="1:15" ht="15.75" customHeight="1" x14ac:dyDescent="0.2">
      <c r="B25" s="86" t="s">
        <v>190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(1-food_insecure)*(0.21)*(1-school_attendance) + food_insecure*(0.3)*(1-school_attendance)</f>
        <v>0.18124259999999998</v>
      </c>
      <c r="M25" s="51">
        <f>(1-food_insecure)*(0.21)+food_insecure*(0.3)</f>
        <v>0.23537999999999998</v>
      </c>
      <c r="N25" s="51">
        <f>(1-food_insecure)*(0.21)+food_insecure*(0.3)</f>
        <v>0.23537999999999998</v>
      </c>
      <c r="O25" s="51">
        <f>(1-food_insecure)*(0.21)+food_insecure*(0.3)</f>
        <v>0.23537999999999998</v>
      </c>
    </row>
    <row r="26" spans="1:15" ht="15.75" customHeight="1" x14ac:dyDescent="0.2">
      <c r="B26" s="86" t="s">
        <v>191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(1-food_insecure)*(0.3)*(1-school_attendance)</f>
        <v>0.16585799999999998</v>
      </c>
      <c r="M26" s="51">
        <f>(1-food_insecure)*(0.3)</f>
        <v>0.21539999999999998</v>
      </c>
      <c r="N26" s="51">
        <f>(1-food_insecure)*(0.3)</f>
        <v>0.21539999999999998</v>
      </c>
      <c r="O26" s="51">
        <f>(1-food_insecure)*(0.3)</f>
        <v>0.21539999999999998</v>
      </c>
    </row>
    <row r="27" spans="1:15" ht="15.75" customHeight="1" x14ac:dyDescent="0.2">
      <c r="B27" s="86" t="s">
        <v>192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(1-food_insecure)*1*school_attendance + food_insecure*1*school_attendance</f>
        <v>0.23</v>
      </c>
      <c r="M27" s="51">
        <v>0</v>
      </c>
      <c r="N27" s="51">
        <v>0</v>
      </c>
      <c r="O27" s="51">
        <v>0</v>
      </c>
    </row>
    <row r="28" spans="1:15" ht="15.75" customHeight="1" x14ac:dyDescent="0.2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2">
      <c r="A29" s="4" t="s">
        <v>35</v>
      </c>
      <c r="B29" s="14" t="s">
        <v>63</v>
      </c>
      <c r="C29" s="51">
        <v>0</v>
      </c>
      <c r="D29" s="51">
        <v>0</v>
      </c>
      <c r="E29" s="51">
        <f t="shared" ref="E29:O29" si="0">frac_maize</f>
        <v>0.8</v>
      </c>
      <c r="F29" s="51">
        <f t="shared" si="0"/>
        <v>0.8</v>
      </c>
      <c r="G29" s="51">
        <f t="shared" si="0"/>
        <v>0.8</v>
      </c>
      <c r="H29" s="51">
        <f t="shared" si="0"/>
        <v>0.8</v>
      </c>
      <c r="I29" s="51">
        <f t="shared" si="0"/>
        <v>0.8</v>
      </c>
      <c r="J29" s="51">
        <f t="shared" si="0"/>
        <v>0.8</v>
      </c>
      <c r="K29" s="51">
        <f t="shared" si="0"/>
        <v>0.8</v>
      </c>
      <c r="L29" s="51">
        <f t="shared" si="0"/>
        <v>0.8</v>
      </c>
      <c r="M29" s="51">
        <f t="shared" si="0"/>
        <v>0.8</v>
      </c>
      <c r="N29" s="51">
        <f t="shared" si="0"/>
        <v>0.8</v>
      </c>
      <c r="O29" s="51">
        <f t="shared" si="0"/>
        <v>0.8</v>
      </c>
    </row>
    <row r="30" spans="1:15" ht="15.75" customHeight="1" x14ac:dyDescent="0.2">
      <c r="B30" s="14" t="s">
        <v>64</v>
      </c>
      <c r="C30" s="51">
        <v>0</v>
      </c>
      <c r="D30" s="51">
        <v>0</v>
      </c>
      <c r="E30" s="51">
        <f t="shared" ref="E30:O30" si="1">frac_rice</f>
        <v>0</v>
      </c>
      <c r="F30" s="51">
        <f t="shared" si="1"/>
        <v>0</v>
      </c>
      <c r="G30" s="51">
        <f t="shared" si="1"/>
        <v>0</v>
      </c>
      <c r="H30" s="51">
        <f t="shared" si="1"/>
        <v>0</v>
      </c>
      <c r="I30" s="51">
        <f t="shared" si="1"/>
        <v>0</v>
      </c>
      <c r="J30" s="51">
        <f t="shared" si="1"/>
        <v>0</v>
      </c>
      <c r="K30" s="51">
        <f t="shared" si="1"/>
        <v>0</v>
      </c>
      <c r="L30" s="51">
        <f t="shared" si="1"/>
        <v>0</v>
      </c>
      <c r="M30" s="51">
        <f t="shared" si="1"/>
        <v>0</v>
      </c>
      <c r="N30" s="51">
        <f t="shared" si="1"/>
        <v>0</v>
      </c>
      <c r="O30" s="51">
        <f t="shared" si="1"/>
        <v>0</v>
      </c>
    </row>
    <row r="31" spans="1:15" ht="15.75" customHeight="1" x14ac:dyDescent="0.2">
      <c r="B31" s="14" t="s">
        <v>62</v>
      </c>
      <c r="C31" s="51">
        <v>0</v>
      </c>
      <c r="D31" s="51">
        <v>0</v>
      </c>
      <c r="E31" s="51">
        <f t="shared" ref="E31:O31" si="2">frac_wheat</f>
        <v>0</v>
      </c>
      <c r="F31" s="51">
        <f t="shared" si="2"/>
        <v>0</v>
      </c>
      <c r="G31" s="51">
        <f t="shared" si="2"/>
        <v>0</v>
      </c>
      <c r="H31" s="51">
        <f t="shared" si="2"/>
        <v>0</v>
      </c>
      <c r="I31" s="51">
        <f t="shared" si="2"/>
        <v>0</v>
      </c>
      <c r="J31" s="51">
        <f t="shared" si="2"/>
        <v>0</v>
      </c>
      <c r="K31" s="51">
        <f t="shared" si="2"/>
        <v>0</v>
      </c>
      <c r="L31" s="51">
        <f t="shared" si="2"/>
        <v>0</v>
      </c>
      <c r="M31" s="51">
        <f t="shared" si="2"/>
        <v>0</v>
      </c>
      <c r="N31" s="51">
        <f t="shared" si="2"/>
        <v>0</v>
      </c>
      <c r="O31" s="51">
        <f t="shared" si="2"/>
        <v>0</v>
      </c>
    </row>
    <row r="32" spans="1:15" ht="15.75" customHeight="1" x14ac:dyDescent="0.2">
      <c r="B32" s="14" t="s">
        <v>47</v>
      </c>
      <c r="C32" s="51">
        <v>0</v>
      </c>
      <c r="D32" s="51">
        <v>0</v>
      </c>
      <c r="E32" s="51">
        <v>1</v>
      </c>
      <c r="F32" s="51">
        <v>1</v>
      </c>
      <c r="G32" s="51">
        <v>1</v>
      </c>
      <c r="H32" s="51">
        <v>1</v>
      </c>
      <c r="I32" s="51">
        <v>1</v>
      </c>
      <c r="J32" s="51">
        <v>1</v>
      </c>
      <c r="K32" s="51">
        <v>1</v>
      </c>
      <c r="L32" s="51">
        <v>1</v>
      </c>
      <c r="M32" s="51">
        <v>1</v>
      </c>
      <c r="N32" s="51">
        <v>1</v>
      </c>
      <c r="O32" s="51">
        <v>1</v>
      </c>
    </row>
    <row r="33" spans="1:15" ht="15.75" customHeight="1" x14ac:dyDescent="0.2">
      <c r="B33" s="14" t="s">
        <v>34</v>
      </c>
      <c r="C33" s="51">
        <f t="shared" ref="C33:O33" si="3">frac_malaria_risk</f>
        <v>1</v>
      </c>
      <c r="D33" s="51">
        <f t="shared" si="3"/>
        <v>1</v>
      </c>
      <c r="E33" s="51">
        <f t="shared" si="3"/>
        <v>1</v>
      </c>
      <c r="F33" s="51">
        <f t="shared" si="3"/>
        <v>1</v>
      </c>
      <c r="G33" s="51">
        <f t="shared" si="3"/>
        <v>1</v>
      </c>
      <c r="H33" s="51">
        <f t="shared" si="3"/>
        <v>1</v>
      </c>
      <c r="I33" s="51">
        <f t="shared" si="3"/>
        <v>1</v>
      </c>
      <c r="J33" s="51">
        <f t="shared" si="3"/>
        <v>1</v>
      </c>
      <c r="K33" s="51">
        <f t="shared" si="3"/>
        <v>1</v>
      </c>
      <c r="L33" s="51">
        <f t="shared" si="3"/>
        <v>1</v>
      </c>
      <c r="M33" s="51">
        <f t="shared" si="3"/>
        <v>1</v>
      </c>
      <c r="N33" s="51">
        <f t="shared" si="3"/>
        <v>1</v>
      </c>
      <c r="O33" s="51">
        <f t="shared" si="3"/>
        <v>1</v>
      </c>
    </row>
    <row r="34" spans="1:15" ht="15.75" customHeight="1" x14ac:dyDescent="0.2">
      <c r="B34" s="49" t="s">
        <v>83</v>
      </c>
      <c r="C34" s="51">
        <v>1</v>
      </c>
      <c r="D34" s="51">
        <v>1</v>
      </c>
      <c r="E34" s="51">
        <v>1</v>
      </c>
      <c r="F34" s="51">
        <v>1</v>
      </c>
      <c r="G34" s="51">
        <v>1</v>
      </c>
      <c r="H34" s="51">
        <v>1</v>
      </c>
      <c r="I34" s="51">
        <v>1</v>
      </c>
      <c r="J34" s="51">
        <v>1</v>
      </c>
      <c r="K34" s="51">
        <v>1</v>
      </c>
      <c r="L34" s="51">
        <v>1</v>
      </c>
      <c r="M34" s="51">
        <v>1</v>
      </c>
      <c r="N34" s="51">
        <v>1</v>
      </c>
      <c r="O34" s="51">
        <v>1</v>
      </c>
    </row>
    <row r="35" spans="1:15" ht="15.75" customHeight="1" x14ac:dyDescent="0.2">
      <c r="A35" s="5"/>
      <c r="B35" s="49" t="s">
        <v>82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1:15" s="5" customFormat="1" ht="15.75" customHeight="1" x14ac:dyDescent="0.2">
      <c r="B36" s="49" t="s">
        <v>81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1:15" s="5" customFormat="1" ht="15.75" customHeight="1" x14ac:dyDescent="0.2">
      <c r="B37" s="49" t="s">
        <v>79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1:15" s="5" customFormat="1" ht="15.75" customHeight="1" x14ac:dyDescent="0.2">
      <c r="B38" s="49" t="s">
        <v>80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1:15" ht="15.75" customHeight="1" x14ac:dyDescent="0.2">
      <c r="B39" s="49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A6" sqref="A6"/>
    </sheetView>
  </sheetViews>
  <sheetFormatPr defaultColWidth="11.42578125" defaultRowHeight="12.75" x14ac:dyDescent="0.2"/>
  <cols>
    <col min="1" max="1" width="33.7109375" style="53" customWidth="1"/>
    <col min="2" max="2" width="12.42578125" style="53" customWidth="1"/>
    <col min="3" max="4" width="11.42578125" style="53"/>
    <col min="5" max="5" width="17.42578125" style="53" customWidth="1"/>
    <col min="6" max="16384" width="11.42578125" style="53"/>
  </cols>
  <sheetData>
    <row r="1" spans="1:5" x14ac:dyDescent="0.2">
      <c r="A1" s="58" t="s">
        <v>164</v>
      </c>
      <c r="B1" s="58" t="s">
        <v>163</v>
      </c>
      <c r="C1" s="58" t="s">
        <v>162</v>
      </c>
      <c r="D1" s="58" t="s">
        <v>161</v>
      </c>
      <c r="E1" s="58" t="s">
        <v>160</v>
      </c>
    </row>
    <row r="2" spans="1:5" ht="14.25" x14ac:dyDescent="0.2">
      <c r="A2" s="57" t="s">
        <v>159</v>
      </c>
      <c r="B2" s="56">
        <v>0.9</v>
      </c>
      <c r="C2" s="55">
        <v>0.09</v>
      </c>
      <c r="D2" s="53">
        <v>0.8</v>
      </c>
      <c r="E2" s="53">
        <f t="shared" ref="E2:E10" si="0">C2*D2</f>
        <v>7.1999999999999995E-2</v>
      </c>
    </row>
    <row r="3" spans="1:5" ht="14.25" x14ac:dyDescent="0.2">
      <c r="A3" s="57" t="s">
        <v>158</v>
      </c>
      <c r="B3" s="56">
        <v>1</v>
      </c>
      <c r="C3" s="55">
        <v>0.02</v>
      </c>
      <c r="D3" s="53">
        <v>1.9</v>
      </c>
      <c r="E3" s="53">
        <f t="shared" si="0"/>
        <v>3.7999999999999999E-2</v>
      </c>
    </row>
    <row r="4" spans="1:5" ht="14.25" x14ac:dyDescent="0.2">
      <c r="A4" s="57" t="s">
        <v>157</v>
      </c>
      <c r="B4" s="56">
        <v>1</v>
      </c>
      <c r="C4" s="55">
        <v>0.08</v>
      </c>
      <c r="D4" s="53">
        <v>2</v>
      </c>
      <c r="E4" s="53">
        <f t="shared" si="0"/>
        <v>0.16</v>
      </c>
    </row>
    <row r="5" spans="1:5" ht="14.25" x14ac:dyDescent="0.2">
      <c r="A5" s="57" t="s">
        <v>156</v>
      </c>
      <c r="B5" s="56">
        <v>1</v>
      </c>
      <c r="C5" s="55">
        <v>0.18</v>
      </c>
      <c r="D5" s="53">
        <v>0.7</v>
      </c>
      <c r="E5" s="53">
        <f t="shared" si="0"/>
        <v>0.126</v>
      </c>
    </row>
    <row r="6" spans="1:5" ht="14.25" x14ac:dyDescent="0.2">
      <c r="A6" s="57" t="s">
        <v>155</v>
      </c>
      <c r="B6" s="56">
        <v>1</v>
      </c>
      <c r="C6" s="55">
        <v>0.02</v>
      </c>
      <c r="D6" s="53">
        <v>0.7</v>
      </c>
      <c r="E6" s="53">
        <f t="shared" si="0"/>
        <v>1.3999999999999999E-2</v>
      </c>
    </row>
    <row r="7" spans="1:5" ht="14.25" x14ac:dyDescent="0.2">
      <c r="A7" s="57" t="s">
        <v>154</v>
      </c>
      <c r="B7" s="56">
        <v>0.93</v>
      </c>
      <c r="C7" s="55">
        <v>0.45</v>
      </c>
      <c r="D7" s="53">
        <v>0.9</v>
      </c>
      <c r="E7" s="53">
        <f t="shared" si="0"/>
        <v>0.40500000000000003</v>
      </c>
    </row>
    <row r="8" spans="1:5" ht="14.25" x14ac:dyDescent="0.2">
      <c r="A8" s="57" t="s">
        <v>153</v>
      </c>
      <c r="B8" s="56">
        <v>0.5</v>
      </c>
      <c r="C8" s="55">
        <v>0.03</v>
      </c>
      <c r="D8" s="53">
        <v>0</v>
      </c>
      <c r="E8" s="53">
        <f t="shared" si="0"/>
        <v>0</v>
      </c>
    </row>
    <row r="9" spans="1:5" ht="14.25" x14ac:dyDescent="0.2">
      <c r="A9" s="57" t="s">
        <v>152</v>
      </c>
      <c r="B9" s="56">
        <v>0.5</v>
      </c>
      <c r="C9" s="55">
        <v>0.11</v>
      </c>
      <c r="D9" s="53">
        <v>0</v>
      </c>
      <c r="E9" s="53">
        <f t="shared" si="0"/>
        <v>0</v>
      </c>
    </row>
    <row r="10" spans="1:5" ht="14.25" x14ac:dyDescent="0.2">
      <c r="A10" s="57" t="s">
        <v>151</v>
      </c>
      <c r="B10" s="56">
        <v>0.98</v>
      </c>
      <c r="C10" s="55">
        <v>0.01</v>
      </c>
      <c r="D10" s="53">
        <v>0.6</v>
      </c>
      <c r="E10" s="53">
        <f t="shared" si="0"/>
        <v>6.0000000000000001E-3</v>
      </c>
    </row>
    <row r="11" spans="1:5" x14ac:dyDescent="0.2">
      <c r="C11" s="5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J40"/>
  <sheetViews>
    <sheetView zoomScale="85" zoomScaleNormal="85" workbookViewId="0">
      <selection activeCell="C2" sqref="C2"/>
    </sheetView>
  </sheetViews>
  <sheetFormatPr defaultColWidth="14.42578125" defaultRowHeight="15.75" customHeight="1" x14ac:dyDescent="0.2"/>
  <cols>
    <col min="1" max="1" width="8.42578125" style="15" customWidth="1"/>
    <col min="2" max="10" width="16.85546875" style="15" customWidth="1"/>
    <col min="11" max="16384" width="14.42578125" style="15"/>
  </cols>
  <sheetData>
    <row r="1" spans="1:10" s="28" customFormat="1" ht="30" customHeight="1" x14ac:dyDescent="0.2">
      <c r="A1" s="43" t="s">
        <v>0</v>
      </c>
      <c r="B1" s="36" t="s">
        <v>112</v>
      </c>
      <c r="C1" s="31" t="s">
        <v>113</v>
      </c>
      <c r="D1" s="31" t="s">
        <v>49</v>
      </c>
      <c r="E1" s="31" t="s">
        <v>50</v>
      </c>
      <c r="F1" s="31" t="s">
        <v>51</v>
      </c>
      <c r="G1" s="31" t="s">
        <v>52</v>
      </c>
      <c r="H1" s="31" t="s">
        <v>114</v>
      </c>
      <c r="I1" s="31" t="s">
        <v>131</v>
      </c>
      <c r="J1" s="31" t="s">
        <v>36</v>
      </c>
    </row>
    <row r="2" spans="1:10" ht="15.75" customHeight="1" x14ac:dyDescent="0.2">
      <c r="A2" s="9">
        <f>start_year</f>
        <v>2017</v>
      </c>
      <c r="B2" s="8">
        <v>2110000</v>
      </c>
      <c r="C2" s="29">
        <v>9862402</v>
      </c>
      <c r="D2" s="29">
        <v>3032037</v>
      </c>
      <c r="E2" s="29">
        <v>4756743</v>
      </c>
      <c r="F2" s="29">
        <v>3406589</v>
      </c>
      <c r="G2" s="29">
        <v>2174712</v>
      </c>
      <c r="H2" s="30">
        <f t="shared" ref="H2:H40" si="0">D2+E2+F2+G2</f>
        <v>13370081</v>
      </c>
      <c r="I2" s="30">
        <f>(B2 + stillbirth*B2/(1000-stillbirth))/(1-abortion)</f>
        <v>2480858.588708919</v>
      </c>
      <c r="J2" s="30">
        <f>H2-I2</f>
        <v>10889222.411291081</v>
      </c>
    </row>
    <row r="3" spans="1:10" ht="15.75" customHeight="1" x14ac:dyDescent="0.2">
      <c r="A3" s="9">
        <f t="shared" ref="A3:A40" si="1">IF($A$2+ROW(A3)-2&lt;=end_year,A2+1,"")</f>
        <v>2018</v>
      </c>
      <c r="B3" s="8">
        <v>2150000</v>
      </c>
      <c r="C3" s="29">
        <v>10050371</v>
      </c>
      <c r="D3" s="29">
        <v>3164674</v>
      </c>
      <c r="E3" s="29">
        <v>4882700</v>
      </c>
      <c r="F3" s="29">
        <v>3520083</v>
      </c>
      <c r="G3" s="29">
        <v>2275309</v>
      </c>
      <c r="H3" s="30">
        <f t="shared" si="0"/>
        <v>13842766</v>
      </c>
      <c r="I3" s="30">
        <f t="shared" ref="I3:I40" si="2">(B3 + stillbirth*B3/(1000-stillbirth))/(1-abortion)</f>
        <v>2527889.0832815999</v>
      </c>
      <c r="J3" s="30">
        <f t="shared" ref="J3:J15" si="3">H3-I3</f>
        <v>11314876.916718401</v>
      </c>
    </row>
    <row r="4" spans="1:10" ht="15.75" customHeight="1" x14ac:dyDescent="0.2">
      <c r="A4" s="9">
        <f t="shared" si="1"/>
        <v>2019</v>
      </c>
      <c r="B4" s="8">
        <v>2200000</v>
      </c>
      <c r="C4" s="29">
        <v>10237786</v>
      </c>
      <c r="D4" s="29">
        <v>3296354</v>
      </c>
      <c r="E4" s="29">
        <v>5018666</v>
      </c>
      <c r="F4" s="29">
        <v>3634703</v>
      </c>
      <c r="G4" s="29">
        <v>2379017</v>
      </c>
      <c r="H4" s="30">
        <f t="shared" si="0"/>
        <v>14328740</v>
      </c>
      <c r="I4" s="30">
        <f t="shared" si="2"/>
        <v>2586677.2014974509</v>
      </c>
      <c r="J4" s="30">
        <f t="shared" si="3"/>
        <v>11742062.79850255</v>
      </c>
    </row>
    <row r="5" spans="1:10" ht="15.75" customHeight="1" x14ac:dyDescent="0.2">
      <c r="A5" s="9">
        <f t="shared" si="1"/>
        <v>2020</v>
      </c>
      <c r="B5" s="8">
        <v>2240000</v>
      </c>
      <c r="C5" s="29">
        <v>10438537</v>
      </c>
      <c r="D5" s="29">
        <v>3418969</v>
      </c>
      <c r="E5" s="29">
        <v>5168014</v>
      </c>
      <c r="F5" s="29">
        <v>3750324</v>
      </c>
      <c r="G5" s="29">
        <v>2484409</v>
      </c>
      <c r="H5" s="30">
        <f t="shared" si="0"/>
        <v>14821716</v>
      </c>
      <c r="I5" s="30">
        <f t="shared" si="2"/>
        <v>2633707.6960701318</v>
      </c>
      <c r="J5" s="30">
        <f t="shared" si="3"/>
        <v>12188008.303929869</v>
      </c>
    </row>
    <row r="6" spans="1:10" ht="15.75" customHeight="1" x14ac:dyDescent="0.2">
      <c r="A6" s="9">
        <f t="shared" si="1"/>
        <v>2021</v>
      </c>
      <c r="B6" s="8">
        <v>2280000</v>
      </c>
      <c r="C6" s="29">
        <v>10636534</v>
      </c>
      <c r="D6" s="29">
        <v>3532758</v>
      </c>
      <c r="E6" s="29">
        <v>5332455</v>
      </c>
      <c r="F6" s="29">
        <v>3869436</v>
      </c>
      <c r="G6" s="29">
        <v>2592003</v>
      </c>
      <c r="H6" s="30">
        <f t="shared" si="0"/>
        <v>15326652</v>
      </c>
      <c r="I6" s="30">
        <f t="shared" si="2"/>
        <v>2680738.1906428128</v>
      </c>
      <c r="J6" s="30">
        <f t="shared" si="3"/>
        <v>12645913.809357187</v>
      </c>
    </row>
    <row r="7" spans="1:10" ht="15.75" customHeight="1" x14ac:dyDescent="0.2">
      <c r="A7" s="9">
        <f t="shared" si="1"/>
        <v>2022</v>
      </c>
      <c r="B7" s="8">
        <v>2330000</v>
      </c>
      <c r="C7" s="29">
        <v>10854967</v>
      </c>
      <c r="D7" s="29">
        <v>3637390</v>
      </c>
      <c r="E7" s="29">
        <v>5508952</v>
      </c>
      <c r="F7" s="29">
        <v>3990560</v>
      </c>
      <c r="G7" s="29">
        <v>2701259</v>
      </c>
      <c r="H7" s="30">
        <f t="shared" si="0"/>
        <v>15838161</v>
      </c>
      <c r="I7" s="30">
        <f t="shared" si="2"/>
        <v>2739526.3088586638</v>
      </c>
      <c r="J7" s="30">
        <f t="shared" si="3"/>
        <v>13098634.691141337</v>
      </c>
    </row>
    <row r="8" spans="1:10" ht="15.75" customHeight="1" x14ac:dyDescent="0.2">
      <c r="A8" s="9">
        <f t="shared" si="1"/>
        <v>2023</v>
      </c>
      <c r="B8" s="8">
        <v>2380000</v>
      </c>
      <c r="C8" s="29">
        <v>11089897</v>
      </c>
      <c r="D8" s="29">
        <v>3737403</v>
      </c>
      <c r="E8" s="29">
        <v>5696990</v>
      </c>
      <c r="F8" s="29">
        <v>4112898</v>
      </c>
      <c r="G8" s="29">
        <v>2811667</v>
      </c>
      <c r="H8" s="30">
        <f t="shared" si="0"/>
        <v>16358958</v>
      </c>
      <c r="I8" s="30">
        <f t="shared" si="2"/>
        <v>2798314.4270745148</v>
      </c>
      <c r="J8" s="30">
        <f t="shared" si="3"/>
        <v>13560643.572925486</v>
      </c>
    </row>
    <row r="9" spans="1:10" ht="15.75" customHeight="1" x14ac:dyDescent="0.2">
      <c r="A9" s="9">
        <f t="shared" si="1"/>
        <v>2024</v>
      </c>
      <c r="B9" s="8">
        <v>2420000</v>
      </c>
      <c r="C9" s="29">
        <v>11331595</v>
      </c>
      <c r="D9" s="29">
        <v>3840674</v>
      </c>
      <c r="E9" s="29">
        <v>5895615</v>
      </c>
      <c r="F9" s="29">
        <v>4235117</v>
      </c>
      <c r="G9" s="29">
        <v>2922818</v>
      </c>
      <c r="H9" s="30">
        <f t="shared" si="0"/>
        <v>16894224</v>
      </c>
      <c r="I9" s="30">
        <f t="shared" si="2"/>
        <v>2845344.9216471957</v>
      </c>
      <c r="J9" s="30">
        <f t="shared" si="3"/>
        <v>14048879.078352805</v>
      </c>
    </row>
    <row r="10" spans="1:10" ht="15.75" customHeight="1" x14ac:dyDescent="0.2">
      <c r="A10" s="9">
        <f t="shared" si="1"/>
        <v>2025</v>
      </c>
      <c r="B10" s="8">
        <v>2480000</v>
      </c>
      <c r="C10" s="29">
        <v>11574198</v>
      </c>
      <c r="D10" s="29">
        <v>3951644</v>
      </c>
      <c r="E10" s="29">
        <v>6103745</v>
      </c>
      <c r="F10" s="29">
        <v>4356516</v>
      </c>
      <c r="G10" s="29">
        <v>3034340</v>
      </c>
      <c r="H10" s="30">
        <f t="shared" si="0"/>
        <v>17446245</v>
      </c>
      <c r="I10" s="30">
        <f t="shared" si="2"/>
        <v>2915890.6635062173</v>
      </c>
      <c r="J10" s="30">
        <f t="shared" si="3"/>
        <v>14530354.336493783</v>
      </c>
    </row>
    <row r="11" spans="1:10" ht="15.75" customHeight="1" x14ac:dyDescent="0.2">
      <c r="A11" s="9">
        <f t="shared" si="1"/>
        <v>2026</v>
      </c>
      <c r="B11" s="8">
        <v>2530000</v>
      </c>
      <c r="C11" s="29">
        <v>11838769</v>
      </c>
      <c r="D11" s="29">
        <v>4065313</v>
      </c>
      <c r="E11" s="29">
        <v>6319831</v>
      </c>
      <c r="F11" s="29">
        <v>4477188</v>
      </c>
      <c r="G11" s="29">
        <v>3144612</v>
      </c>
      <c r="H11" s="30">
        <f t="shared" si="0"/>
        <v>18006944</v>
      </c>
      <c r="I11" s="30">
        <f t="shared" si="2"/>
        <v>2974678.7817220683</v>
      </c>
      <c r="J11" s="30">
        <f t="shared" si="3"/>
        <v>15032265.218277931</v>
      </c>
    </row>
    <row r="12" spans="1:10" ht="15.75" customHeight="1" x14ac:dyDescent="0.2">
      <c r="A12" s="9">
        <f t="shared" si="1"/>
        <v>2027</v>
      </c>
      <c r="B12" s="8">
        <v>2580000</v>
      </c>
      <c r="C12" s="29">
        <v>12092177</v>
      </c>
      <c r="D12" s="29">
        <v>4185562</v>
      </c>
      <c r="E12" s="29">
        <v>6545116</v>
      </c>
      <c r="F12" s="29">
        <v>4597739</v>
      </c>
      <c r="G12" s="29">
        <v>3255252</v>
      </c>
      <c r="H12" s="30">
        <f t="shared" si="0"/>
        <v>18583669</v>
      </c>
      <c r="I12" s="30">
        <f t="shared" si="2"/>
        <v>3033466.8999379198</v>
      </c>
      <c r="J12" s="30">
        <f t="shared" si="3"/>
        <v>15550202.10006208</v>
      </c>
    </row>
    <row r="13" spans="1:10" ht="15.75" customHeight="1" x14ac:dyDescent="0.2">
      <c r="A13" s="9">
        <f t="shared" si="1"/>
        <v>2028</v>
      </c>
      <c r="B13" s="8">
        <v>2630000</v>
      </c>
      <c r="C13" s="29">
        <v>12338218</v>
      </c>
      <c r="D13" s="29">
        <v>4309237</v>
      </c>
      <c r="E13" s="29">
        <v>6776307</v>
      </c>
      <c r="F13" s="29">
        <v>4722286</v>
      </c>
      <c r="G13" s="29">
        <v>3366750</v>
      </c>
      <c r="H13" s="30">
        <f t="shared" si="0"/>
        <v>19174580</v>
      </c>
      <c r="I13" s="30">
        <f t="shared" si="2"/>
        <v>3092255.0181537713</v>
      </c>
      <c r="J13" s="30">
        <f t="shared" si="3"/>
        <v>16082324.981846228</v>
      </c>
    </row>
    <row r="14" spans="1:10" ht="15.75" customHeight="1" x14ac:dyDescent="0.2">
      <c r="A14" s="9">
        <f t="shared" si="1"/>
        <v>2029</v>
      </c>
      <c r="B14" s="8">
        <v>2690000</v>
      </c>
      <c r="C14" s="29">
        <v>12584924</v>
      </c>
      <c r="D14" s="29">
        <v>4430738</v>
      </c>
      <c r="E14" s="29">
        <v>7008703</v>
      </c>
      <c r="F14" s="29">
        <v>4856898</v>
      </c>
      <c r="G14" s="29">
        <v>3479917</v>
      </c>
      <c r="H14" s="30">
        <f t="shared" si="0"/>
        <v>19776256</v>
      </c>
      <c r="I14" s="30">
        <f t="shared" si="2"/>
        <v>3162800.7600127924</v>
      </c>
      <c r="J14" s="30">
        <f t="shared" si="3"/>
        <v>16613455.239987208</v>
      </c>
    </row>
    <row r="15" spans="1:10" ht="15.75" customHeight="1" x14ac:dyDescent="0.2">
      <c r="A15" s="9">
        <f t="shared" si="1"/>
        <v>2030</v>
      </c>
      <c r="B15" s="8">
        <v>2740000</v>
      </c>
      <c r="C15" s="29">
        <v>12839335</v>
      </c>
      <c r="D15" s="29">
        <v>4546624</v>
      </c>
      <c r="E15" s="29">
        <v>7239465</v>
      </c>
      <c r="F15" s="29">
        <v>5005361</v>
      </c>
      <c r="G15" s="29">
        <v>3595278</v>
      </c>
      <c r="H15" s="30">
        <f t="shared" si="0"/>
        <v>20386728</v>
      </c>
      <c r="I15" s="30">
        <f t="shared" si="2"/>
        <v>3221588.8782286434</v>
      </c>
      <c r="J15" s="30">
        <f t="shared" si="3"/>
        <v>17165139.121771358</v>
      </c>
    </row>
    <row r="16" spans="1:10" ht="15.75" customHeight="1" x14ac:dyDescent="0.2">
      <c r="A16" s="9" t="str">
        <f t="shared" si="1"/>
        <v/>
      </c>
      <c r="B16" s="8"/>
      <c r="C16" s="29"/>
      <c r="D16" s="29"/>
      <c r="E16" s="29"/>
      <c r="F16" s="29"/>
      <c r="G16" s="29"/>
      <c r="H16" s="30">
        <f t="shared" si="0"/>
        <v>0</v>
      </c>
      <c r="I16" s="30">
        <f t="shared" si="2"/>
        <v>0</v>
      </c>
      <c r="J16" s="30">
        <f t="shared" ref="J16:J40" si="4">H16-I16</f>
        <v>0</v>
      </c>
    </row>
    <row r="17" spans="1:10" ht="15.75" customHeight="1" x14ac:dyDescent="0.2">
      <c r="A17" s="9" t="str">
        <f t="shared" si="1"/>
        <v/>
      </c>
      <c r="B17" s="8"/>
      <c r="C17" s="29"/>
      <c r="D17" s="29"/>
      <c r="E17" s="29"/>
      <c r="F17" s="29"/>
      <c r="G17" s="29"/>
      <c r="H17" s="30">
        <f t="shared" si="0"/>
        <v>0</v>
      </c>
      <c r="I17" s="30">
        <f t="shared" si="2"/>
        <v>0</v>
      </c>
      <c r="J17" s="30">
        <f t="shared" si="4"/>
        <v>0</v>
      </c>
    </row>
    <row r="18" spans="1:10" ht="15.75" customHeight="1" x14ac:dyDescent="0.2">
      <c r="A18" s="9" t="str">
        <f t="shared" si="1"/>
        <v/>
      </c>
      <c r="B18" s="8"/>
      <c r="C18" s="29"/>
      <c r="D18" s="29"/>
      <c r="E18" s="29"/>
      <c r="F18" s="29"/>
      <c r="G18" s="29"/>
      <c r="H18" s="30">
        <f t="shared" si="0"/>
        <v>0</v>
      </c>
      <c r="I18" s="30">
        <f t="shared" si="2"/>
        <v>0</v>
      </c>
      <c r="J18" s="30">
        <f t="shared" si="4"/>
        <v>0</v>
      </c>
    </row>
    <row r="19" spans="1:10" ht="15.75" customHeight="1" x14ac:dyDescent="0.2">
      <c r="A19" s="9" t="str">
        <f t="shared" si="1"/>
        <v/>
      </c>
      <c r="B19" s="8"/>
      <c r="C19" s="29"/>
      <c r="D19" s="29"/>
      <c r="E19" s="29"/>
      <c r="F19" s="29"/>
      <c r="G19" s="29"/>
      <c r="H19" s="30">
        <f t="shared" si="0"/>
        <v>0</v>
      </c>
      <c r="I19" s="30">
        <f t="shared" si="2"/>
        <v>0</v>
      </c>
      <c r="J19" s="30">
        <f t="shared" si="4"/>
        <v>0</v>
      </c>
    </row>
    <row r="20" spans="1:10" ht="15.75" customHeight="1" x14ac:dyDescent="0.2">
      <c r="A20" s="9" t="str">
        <f t="shared" si="1"/>
        <v/>
      </c>
      <c r="B20" s="8"/>
      <c r="C20" s="29"/>
      <c r="D20" s="29"/>
      <c r="E20" s="29"/>
      <c r="F20" s="29"/>
      <c r="G20" s="29"/>
      <c r="H20" s="30">
        <f t="shared" si="0"/>
        <v>0</v>
      </c>
      <c r="I20" s="30">
        <f t="shared" si="2"/>
        <v>0</v>
      </c>
      <c r="J20" s="30">
        <f t="shared" si="4"/>
        <v>0</v>
      </c>
    </row>
    <row r="21" spans="1:10" ht="15.75" customHeight="1" x14ac:dyDescent="0.2">
      <c r="A21" s="9" t="str">
        <f t="shared" si="1"/>
        <v/>
      </c>
      <c r="B21" s="8"/>
      <c r="C21" s="29"/>
      <c r="D21" s="29"/>
      <c r="E21" s="29"/>
      <c r="F21" s="29"/>
      <c r="G21" s="29"/>
      <c r="H21" s="30">
        <f t="shared" si="0"/>
        <v>0</v>
      </c>
      <c r="I21" s="30">
        <f t="shared" si="2"/>
        <v>0</v>
      </c>
      <c r="J21" s="30">
        <f t="shared" si="4"/>
        <v>0</v>
      </c>
    </row>
    <row r="22" spans="1:10" ht="15.75" customHeight="1" x14ac:dyDescent="0.2">
      <c r="A22" s="9" t="str">
        <f t="shared" si="1"/>
        <v/>
      </c>
      <c r="B22" s="8"/>
      <c r="C22" s="29"/>
      <c r="D22" s="29"/>
      <c r="E22" s="29"/>
      <c r="F22" s="29"/>
      <c r="G22" s="29"/>
      <c r="H22" s="30">
        <f t="shared" si="0"/>
        <v>0</v>
      </c>
      <c r="I22" s="30">
        <f t="shared" si="2"/>
        <v>0</v>
      </c>
      <c r="J22" s="30">
        <f t="shared" si="4"/>
        <v>0</v>
      </c>
    </row>
    <row r="23" spans="1:10" ht="15.75" customHeight="1" x14ac:dyDescent="0.2">
      <c r="A23" s="9" t="str">
        <f t="shared" si="1"/>
        <v/>
      </c>
      <c r="B23" s="8"/>
      <c r="C23" s="29"/>
      <c r="D23" s="29"/>
      <c r="E23" s="29"/>
      <c r="F23" s="29"/>
      <c r="G23" s="29"/>
      <c r="H23" s="30">
        <f t="shared" si="0"/>
        <v>0</v>
      </c>
      <c r="I23" s="30">
        <f t="shared" si="2"/>
        <v>0</v>
      </c>
      <c r="J23" s="30">
        <f t="shared" si="4"/>
        <v>0</v>
      </c>
    </row>
    <row r="24" spans="1:10" ht="15.75" customHeight="1" x14ac:dyDescent="0.2">
      <c r="A24" s="9" t="str">
        <f t="shared" si="1"/>
        <v/>
      </c>
      <c r="B24" s="8"/>
      <c r="C24" s="29"/>
      <c r="D24" s="29"/>
      <c r="E24" s="29"/>
      <c r="F24" s="29"/>
      <c r="G24" s="29"/>
      <c r="H24" s="30">
        <f t="shared" si="0"/>
        <v>0</v>
      </c>
      <c r="I24" s="30">
        <f t="shared" si="2"/>
        <v>0</v>
      </c>
      <c r="J24" s="30">
        <f t="shared" si="4"/>
        <v>0</v>
      </c>
    </row>
    <row r="25" spans="1:10" ht="15.75" customHeight="1" x14ac:dyDescent="0.2">
      <c r="A25" s="9" t="str">
        <f t="shared" si="1"/>
        <v/>
      </c>
      <c r="B25" s="8"/>
      <c r="C25" s="29"/>
      <c r="D25" s="29"/>
      <c r="E25" s="29"/>
      <c r="F25" s="29"/>
      <c r="G25" s="29"/>
      <c r="H25" s="30">
        <f t="shared" si="0"/>
        <v>0</v>
      </c>
      <c r="I25" s="30">
        <f t="shared" si="2"/>
        <v>0</v>
      </c>
      <c r="J25" s="30">
        <f t="shared" si="4"/>
        <v>0</v>
      </c>
    </row>
    <row r="26" spans="1:10" ht="15.75" customHeight="1" x14ac:dyDescent="0.2">
      <c r="A26" s="9" t="str">
        <f t="shared" si="1"/>
        <v/>
      </c>
      <c r="B26" s="8"/>
      <c r="C26" s="29"/>
      <c r="D26" s="29"/>
      <c r="E26" s="29"/>
      <c r="F26" s="29"/>
      <c r="G26" s="29"/>
      <c r="H26" s="30">
        <f t="shared" si="0"/>
        <v>0</v>
      </c>
      <c r="I26" s="30">
        <f t="shared" si="2"/>
        <v>0</v>
      </c>
      <c r="J26" s="30">
        <f t="shared" si="4"/>
        <v>0</v>
      </c>
    </row>
    <row r="27" spans="1:10" ht="15.75" customHeight="1" x14ac:dyDescent="0.2">
      <c r="A27" s="9" t="str">
        <f t="shared" si="1"/>
        <v/>
      </c>
      <c r="B27" s="8"/>
      <c r="C27" s="29"/>
      <c r="D27" s="29"/>
      <c r="E27" s="29"/>
      <c r="F27" s="29"/>
      <c r="G27" s="29"/>
      <c r="H27" s="30">
        <f t="shared" si="0"/>
        <v>0</v>
      </c>
      <c r="I27" s="30">
        <f t="shared" si="2"/>
        <v>0</v>
      </c>
      <c r="J27" s="30">
        <f t="shared" si="4"/>
        <v>0</v>
      </c>
    </row>
    <row r="28" spans="1:10" ht="15.75" customHeight="1" x14ac:dyDescent="0.2">
      <c r="A28" s="9" t="str">
        <f t="shared" si="1"/>
        <v/>
      </c>
      <c r="B28" s="8"/>
      <c r="C28" s="29"/>
      <c r="D28" s="29"/>
      <c r="E28" s="29"/>
      <c r="F28" s="29"/>
      <c r="G28" s="29"/>
      <c r="H28" s="30">
        <f t="shared" si="0"/>
        <v>0</v>
      </c>
      <c r="I28" s="30">
        <f t="shared" si="2"/>
        <v>0</v>
      </c>
      <c r="J28" s="30">
        <f t="shared" si="4"/>
        <v>0</v>
      </c>
    </row>
    <row r="29" spans="1:10" ht="15.75" customHeight="1" x14ac:dyDescent="0.2">
      <c r="A29" s="9" t="str">
        <f t="shared" si="1"/>
        <v/>
      </c>
      <c r="B29" s="8"/>
      <c r="C29" s="29"/>
      <c r="D29" s="29"/>
      <c r="E29" s="29"/>
      <c r="F29" s="29"/>
      <c r="G29" s="29"/>
      <c r="H29" s="30">
        <f t="shared" si="0"/>
        <v>0</v>
      </c>
      <c r="I29" s="30">
        <f t="shared" si="2"/>
        <v>0</v>
      </c>
      <c r="J29" s="30">
        <f t="shared" si="4"/>
        <v>0</v>
      </c>
    </row>
    <row r="30" spans="1:10" ht="15.75" customHeight="1" x14ac:dyDescent="0.2">
      <c r="A30" s="9" t="str">
        <f t="shared" si="1"/>
        <v/>
      </c>
      <c r="B30" s="8"/>
      <c r="C30" s="29"/>
      <c r="D30" s="29"/>
      <c r="E30" s="29"/>
      <c r="F30" s="29"/>
      <c r="G30" s="29"/>
      <c r="H30" s="30">
        <f t="shared" si="0"/>
        <v>0</v>
      </c>
      <c r="I30" s="30">
        <f t="shared" si="2"/>
        <v>0</v>
      </c>
      <c r="J30" s="30">
        <f t="shared" si="4"/>
        <v>0</v>
      </c>
    </row>
    <row r="31" spans="1:10" ht="15.75" customHeight="1" x14ac:dyDescent="0.2">
      <c r="A31" s="9" t="str">
        <f t="shared" si="1"/>
        <v/>
      </c>
      <c r="B31" s="8"/>
      <c r="C31" s="29"/>
      <c r="D31" s="29"/>
      <c r="E31" s="29"/>
      <c r="F31" s="29"/>
      <c r="G31" s="29"/>
      <c r="H31" s="30">
        <f t="shared" si="0"/>
        <v>0</v>
      </c>
      <c r="I31" s="30">
        <f t="shared" si="2"/>
        <v>0</v>
      </c>
      <c r="J31" s="30">
        <f t="shared" si="4"/>
        <v>0</v>
      </c>
    </row>
    <row r="32" spans="1:10" ht="15.75" customHeight="1" x14ac:dyDescent="0.2">
      <c r="A32" s="9" t="str">
        <f t="shared" si="1"/>
        <v/>
      </c>
      <c r="B32" s="8"/>
      <c r="C32" s="29"/>
      <c r="D32" s="29"/>
      <c r="E32" s="29"/>
      <c r="F32" s="29"/>
      <c r="G32" s="29"/>
      <c r="H32" s="30">
        <f t="shared" si="0"/>
        <v>0</v>
      </c>
      <c r="I32" s="30">
        <f t="shared" si="2"/>
        <v>0</v>
      </c>
      <c r="J32" s="30">
        <f t="shared" si="4"/>
        <v>0</v>
      </c>
    </row>
    <row r="33" spans="1:10" ht="15.75" customHeight="1" x14ac:dyDescent="0.2">
      <c r="A33" s="9" t="str">
        <f t="shared" si="1"/>
        <v/>
      </c>
      <c r="B33" s="8"/>
      <c r="C33" s="29"/>
      <c r="D33" s="29"/>
      <c r="E33" s="29"/>
      <c r="F33" s="29"/>
      <c r="G33" s="29"/>
      <c r="H33" s="30">
        <f t="shared" si="0"/>
        <v>0</v>
      </c>
      <c r="I33" s="30">
        <f t="shared" si="2"/>
        <v>0</v>
      </c>
      <c r="J33" s="30">
        <f t="shared" si="4"/>
        <v>0</v>
      </c>
    </row>
    <row r="34" spans="1:10" ht="15.75" customHeight="1" x14ac:dyDescent="0.2">
      <c r="A34" s="9" t="str">
        <f t="shared" si="1"/>
        <v/>
      </c>
      <c r="B34" s="8"/>
      <c r="C34" s="29"/>
      <c r="D34" s="29"/>
      <c r="E34" s="29"/>
      <c r="F34" s="29"/>
      <c r="G34" s="29"/>
      <c r="H34" s="30">
        <f t="shared" si="0"/>
        <v>0</v>
      </c>
      <c r="I34" s="30">
        <f t="shared" si="2"/>
        <v>0</v>
      </c>
      <c r="J34" s="30">
        <f t="shared" si="4"/>
        <v>0</v>
      </c>
    </row>
    <row r="35" spans="1:10" ht="15.75" customHeight="1" x14ac:dyDescent="0.2">
      <c r="A35" s="9" t="str">
        <f t="shared" si="1"/>
        <v/>
      </c>
      <c r="B35" s="8"/>
      <c r="C35" s="29"/>
      <c r="D35" s="29"/>
      <c r="E35" s="29"/>
      <c r="F35" s="29"/>
      <c r="G35" s="29"/>
      <c r="H35" s="30">
        <f t="shared" si="0"/>
        <v>0</v>
      </c>
      <c r="I35" s="30">
        <f t="shared" si="2"/>
        <v>0</v>
      </c>
      <c r="J35" s="30">
        <f t="shared" si="4"/>
        <v>0</v>
      </c>
    </row>
    <row r="36" spans="1:10" ht="15.75" customHeight="1" x14ac:dyDescent="0.2">
      <c r="A36" s="9" t="str">
        <f t="shared" si="1"/>
        <v/>
      </c>
      <c r="B36" s="8"/>
      <c r="C36" s="29"/>
      <c r="D36" s="29"/>
      <c r="E36" s="29"/>
      <c r="F36" s="29"/>
      <c r="G36" s="29"/>
      <c r="H36" s="30">
        <f t="shared" si="0"/>
        <v>0</v>
      </c>
      <c r="I36" s="30">
        <f t="shared" si="2"/>
        <v>0</v>
      </c>
      <c r="J36" s="30">
        <f t="shared" si="4"/>
        <v>0</v>
      </c>
    </row>
    <row r="37" spans="1:10" ht="15.75" customHeight="1" x14ac:dyDescent="0.2">
      <c r="A37" s="9" t="str">
        <f t="shared" si="1"/>
        <v/>
      </c>
      <c r="B37" s="8"/>
      <c r="C37" s="29"/>
      <c r="D37" s="29"/>
      <c r="E37" s="29"/>
      <c r="F37" s="29"/>
      <c r="G37" s="29"/>
      <c r="H37" s="30">
        <f t="shared" si="0"/>
        <v>0</v>
      </c>
      <c r="I37" s="30">
        <f t="shared" si="2"/>
        <v>0</v>
      </c>
      <c r="J37" s="30">
        <f t="shared" si="4"/>
        <v>0</v>
      </c>
    </row>
    <row r="38" spans="1:10" ht="15.75" customHeight="1" x14ac:dyDescent="0.2">
      <c r="A38" s="9" t="str">
        <f t="shared" si="1"/>
        <v/>
      </c>
      <c r="B38" s="8"/>
      <c r="C38" s="29"/>
      <c r="D38" s="29"/>
      <c r="E38" s="29"/>
      <c r="F38" s="29"/>
      <c r="G38" s="29"/>
      <c r="H38" s="30">
        <f t="shared" si="0"/>
        <v>0</v>
      </c>
      <c r="I38" s="30">
        <f t="shared" si="2"/>
        <v>0</v>
      </c>
      <c r="J38" s="30">
        <f t="shared" si="4"/>
        <v>0</v>
      </c>
    </row>
    <row r="39" spans="1:10" ht="15.75" customHeight="1" x14ac:dyDescent="0.2">
      <c r="A39" s="9" t="str">
        <f t="shared" si="1"/>
        <v/>
      </c>
      <c r="B39" s="8"/>
      <c r="C39" s="29"/>
      <c r="D39" s="29"/>
      <c r="E39" s="29"/>
      <c r="F39" s="29"/>
      <c r="G39" s="29"/>
      <c r="H39" s="30">
        <f t="shared" si="0"/>
        <v>0</v>
      </c>
      <c r="I39" s="30">
        <f t="shared" si="2"/>
        <v>0</v>
      </c>
      <c r="J39" s="30">
        <f t="shared" si="4"/>
        <v>0</v>
      </c>
    </row>
    <row r="40" spans="1:10" ht="15.75" customHeight="1" x14ac:dyDescent="0.2">
      <c r="A40" s="9" t="str">
        <f t="shared" si="1"/>
        <v/>
      </c>
      <c r="B40" s="8"/>
      <c r="C40" s="29"/>
      <c r="D40" s="29"/>
      <c r="E40" s="29"/>
      <c r="F40" s="29"/>
      <c r="G40" s="29"/>
      <c r="H40" s="30">
        <f t="shared" si="0"/>
        <v>0</v>
      </c>
      <c r="I40" s="30">
        <f t="shared" si="2"/>
        <v>0</v>
      </c>
      <c r="J40" s="30">
        <f t="shared" si="4"/>
        <v>0</v>
      </c>
    </row>
  </sheetData>
  <conditionalFormatting sqref="B2:J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27"/>
  <sheetViews>
    <sheetView zoomScale="115" zoomScaleNormal="115" workbookViewId="0">
      <selection activeCell="A2" sqref="A2"/>
    </sheetView>
  </sheetViews>
  <sheetFormatPr defaultColWidth="14.42578125" defaultRowHeight="15.75" customHeight="1" x14ac:dyDescent="0.2"/>
  <cols>
    <col min="1" max="1" width="31.28515625" customWidth="1"/>
    <col min="2" max="7" width="13" customWidth="1"/>
  </cols>
  <sheetData>
    <row r="1" spans="1:7" ht="27.75" customHeight="1" x14ac:dyDescent="0.2">
      <c r="A1" s="11" t="str">
        <f>"Percentage of deaths in baseline year ("&amp;start_year&amp;") attributable to cause"</f>
        <v>Percentage of deaths in baseline year (2017) attributable to cause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32</v>
      </c>
    </row>
    <row r="2" spans="1:7" ht="15.75" customHeight="1" x14ac:dyDescent="0.2">
      <c r="A2" s="32" t="s">
        <v>73</v>
      </c>
      <c r="B2" s="33">
        <v>2.7000000000000001E-3</v>
      </c>
      <c r="C2" s="34">
        <v>0</v>
      </c>
      <c r="D2" s="34">
        <v>0</v>
      </c>
      <c r="E2" s="34">
        <v>0</v>
      </c>
      <c r="F2" s="34">
        <v>0</v>
      </c>
      <c r="G2" s="34">
        <v>0</v>
      </c>
    </row>
    <row r="3" spans="1:7" ht="15.75" customHeight="1" x14ac:dyDescent="0.2">
      <c r="A3" s="32" t="s">
        <v>7</v>
      </c>
      <c r="B3" s="33">
        <v>0.1966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</row>
    <row r="4" spans="1:7" ht="15.75" customHeight="1" x14ac:dyDescent="0.2">
      <c r="A4" s="32" t="s">
        <v>8</v>
      </c>
      <c r="B4" s="33">
        <v>6.2100000000000002E-2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</row>
    <row r="5" spans="1:7" ht="15.75" customHeight="1" x14ac:dyDescent="0.2">
      <c r="A5" s="32" t="s">
        <v>10</v>
      </c>
      <c r="B5" s="33">
        <v>0.29289999999999999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</row>
    <row r="6" spans="1:7" ht="15.75" customHeight="1" x14ac:dyDescent="0.2">
      <c r="A6" s="32" t="s">
        <v>13</v>
      </c>
      <c r="B6" s="33">
        <v>0.24709999999999999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</row>
    <row r="7" spans="1:7" ht="15.75" customHeight="1" x14ac:dyDescent="0.2">
      <c r="A7" s="32" t="s">
        <v>14</v>
      </c>
      <c r="B7" s="33">
        <v>4.7999999999999996E-3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</row>
    <row r="8" spans="1:7" ht="15.75" customHeight="1" x14ac:dyDescent="0.2">
      <c r="A8" s="32" t="s">
        <v>27</v>
      </c>
      <c r="B8" s="33">
        <v>0.13200000000000001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</row>
    <row r="9" spans="1:7" ht="15.75" customHeight="1" x14ac:dyDescent="0.2">
      <c r="A9" s="32" t="s">
        <v>15</v>
      </c>
      <c r="B9" s="33">
        <v>6.1800000000000001E-2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</row>
    <row r="10" spans="1:7" ht="15.75" customHeight="1" x14ac:dyDescent="0.2">
      <c r="A10" s="32" t="s">
        <v>71</v>
      </c>
      <c r="B10" s="34">
        <v>0</v>
      </c>
      <c r="C10" s="33">
        <v>0.1368</v>
      </c>
      <c r="D10" s="33">
        <v>0.1368</v>
      </c>
      <c r="E10" s="33">
        <v>0.1368</v>
      </c>
      <c r="F10" s="33">
        <v>0.1368</v>
      </c>
      <c r="G10" s="34">
        <v>0</v>
      </c>
    </row>
    <row r="11" spans="1:7" ht="15.75" customHeight="1" x14ac:dyDescent="0.2">
      <c r="A11" s="32" t="s">
        <v>16</v>
      </c>
      <c r="B11" s="34">
        <v>0</v>
      </c>
      <c r="C11" s="33">
        <v>0.20660000000000001</v>
      </c>
      <c r="D11" s="33">
        <v>0.20660000000000001</v>
      </c>
      <c r="E11" s="33">
        <v>0.20660000000000001</v>
      </c>
      <c r="F11" s="33">
        <v>0.20660000000000001</v>
      </c>
      <c r="G11" s="34">
        <v>0</v>
      </c>
    </row>
    <row r="12" spans="1:7" ht="15.75" customHeight="1" x14ac:dyDescent="0.2">
      <c r="A12" s="32" t="s">
        <v>17</v>
      </c>
      <c r="B12" s="34">
        <v>0</v>
      </c>
      <c r="C12" s="33">
        <v>2.1100000000000001E-2</v>
      </c>
      <c r="D12" s="33">
        <v>2.1100000000000001E-2</v>
      </c>
      <c r="E12" s="33">
        <v>2.1100000000000001E-2</v>
      </c>
      <c r="F12" s="33">
        <v>2.1100000000000001E-2</v>
      </c>
      <c r="G12" s="34">
        <v>0</v>
      </c>
    </row>
    <row r="13" spans="1:7" ht="15.75" customHeight="1" x14ac:dyDescent="0.2">
      <c r="A13" s="32" t="s">
        <v>18</v>
      </c>
      <c r="B13" s="34">
        <v>0</v>
      </c>
      <c r="C13" s="33">
        <v>7.4999999999999997E-3</v>
      </c>
      <c r="D13" s="33">
        <v>7.4999999999999997E-3</v>
      </c>
      <c r="E13" s="33">
        <v>7.4999999999999997E-3</v>
      </c>
      <c r="F13" s="33">
        <v>7.4999999999999997E-3</v>
      </c>
      <c r="G13" s="34">
        <v>0</v>
      </c>
    </row>
    <row r="14" spans="1:7" ht="15.75" customHeight="1" x14ac:dyDescent="0.2">
      <c r="A14" s="32" t="s">
        <v>19</v>
      </c>
      <c r="B14" s="34">
        <v>0</v>
      </c>
      <c r="C14" s="33">
        <v>8.6199999999999999E-2</v>
      </c>
      <c r="D14" s="33">
        <v>8.6199999999999999E-2</v>
      </c>
      <c r="E14" s="33">
        <v>8.6199999999999999E-2</v>
      </c>
      <c r="F14" s="33">
        <v>8.6199999999999999E-2</v>
      </c>
      <c r="G14" s="34">
        <v>0</v>
      </c>
    </row>
    <row r="15" spans="1:7" ht="15.75" customHeight="1" x14ac:dyDescent="0.2">
      <c r="A15" s="32" t="s">
        <v>20</v>
      </c>
      <c r="B15" s="34">
        <v>0</v>
      </c>
      <c r="C15" s="33">
        <v>2.86E-2</v>
      </c>
      <c r="D15" s="33">
        <v>2.86E-2</v>
      </c>
      <c r="E15" s="33">
        <v>2.86E-2</v>
      </c>
      <c r="F15" s="33">
        <v>2.86E-2</v>
      </c>
      <c r="G15" s="34">
        <v>0</v>
      </c>
    </row>
    <row r="16" spans="1:7" ht="15.75" customHeight="1" x14ac:dyDescent="0.2">
      <c r="A16" s="32" t="s">
        <v>21</v>
      </c>
      <c r="B16" s="34">
        <v>0</v>
      </c>
      <c r="C16" s="33">
        <v>1.5299999999999999E-2</v>
      </c>
      <c r="D16" s="33">
        <v>1.5299999999999999E-2</v>
      </c>
      <c r="E16" s="33">
        <v>1.5299999999999999E-2</v>
      </c>
      <c r="F16" s="33">
        <v>1.5299999999999999E-2</v>
      </c>
      <c r="G16" s="34">
        <v>0</v>
      </c>
    </row>
    <row r="17" spans="1:7" ht="15.75" customHeight="1" x14ac:dyDescent="0.2">
      <c r="A17" s="32" t="s">
        <v>22</v>
      </c>
      <c r="B17" s="34">
        <v>0</v>
      </c>
      <c r="C17" s="33">
        <v>0.13589999999999999</v>
      </c>
      <c r="D17" s="33">
        <v>0.13589999999999999</v>
      </c>
      <c r="E17" s="33">
        <v>0.13589999999999999</v>
      </c>
      <c r="F17" s="33">
        <v>0.13589999999999999</v>
      </c>
      <c r="G17" s="34">
        <v>0</v>
      </c>
    </row>
    <row r="18" spans="1:7" ht="15.75" customHeight="1" x14ac:dyDescent="0.2">
      <c r="A18" s="32" t="s">
        <v>23</v>
      </c>
      <c r="B18" s="34">
        <v>0</v>
      </c>
      <c r="C18" s="33">
        <v>0.36199999999999999</v>
      </c>
      <c r="D18" s="33">
        <v>0.36199999999999999</v>
      </c>
      <c r="E18" s="33">
        <v>0.36199999999999999</v>
      </c>
      <c r="F18" s="33">
        <v>0.36199999999999999</v>
      </c>
      <c r="G18" s="34">
        <v>0</v>
      </c>
    </row>
    <row r="19" spans="1:7" ht="15.75" customHeight="1" x14ac:dyDescent="0.2">
      <c r="A19" s="32" t="s">
        <v>38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5">
        <v>0.10082724000000001</v>
      </c>
    </row>
    <row r="20" spans="1:7" ht="15.75" customHeight="1" x14ac:dyDescent="0.2">
      <c r="A20" s="32" t="s">
        <v>39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5">
        <v>3.1206000000000002E-4</v>
      </c>
    </row>
    <row r="21" spans="1:7" ht="15.75" customHeight="1" x14ac:dyDescent="0.2">
      <c r="A21" s="32" t="s">
        <v>40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5">
        <v>0.15891214000000001</v>
      </c>
    </row>
    <row r="22" spans="1:7" ht="15.75" customHeight="1" x14ac:dyDescent="0.2">
      <c r="A22" s="32" t="s">
        <v>41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5">
        <v>0.12598688999999999</v>
      </c>
    </row>
    <row r="23" spans="1:7" ht="15.75" customHeight="1" x14ac:dyDescent="0.2">
      <c r="A23" s="32" t="s">
        <v>42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5">
        <v>0.12434007</v>
      </c>
    </row>
    <row r="24" spans="1:7" ht="15.75" customHeight="1" x14ac:dyDescent="0.2">
      <c r="A24" s="32" t="s">
        <v>43</v>
      </c>
      <c r="B24" s="34">
        <v>0</v>
      </c>
      <c r="C24" s="34">
        <v>0</v>
      </c>
      <c r="D24" s="34">
        <v>0</v>
      </c>
      <c r="E24" s="34">
        <v>0</v>
      </c>
      <c r="F24" s="34">
        <v>0</v>
      </c>
      <c r="G24" s="35">
        <v>3.9028409999999999E-2</v>
      </c>
    </row>
    <row r="25" spans="1:7" ht="15.75" customHeight="1" x14ac:dyDescent="0.2">
      <c r="A25" s="32" t="s">
        <v>44</v>
      </c>
      <c r="B25" s="34">
        <v>0</v>
      </c>
      <c r="C25" s="34">
        <v>0</v>
      </c>
      <c r="D25" s="34">
        <v>0</v>
      </c>
      <c r="E25" s="34">
        <v>0</v>
      </c>
      <c r="F25" s="34">
        <v>0</v>
      </c>
      <c r="G25" s="35">
        <v>8.5254999999999999E-4</v>
      </c>
    </row>
    <row r="26" spans="1:7" ht="15.75" customHeight="1" x14ac:dyDescent="0.2">
      <c r="A26" s="32" t="s">
        <v>45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5">
        <v>6.8467810000000004E-2</v>
      </c>
    </row>
    <row r="27" spans="1:7" ht="15.75" customHeight="1" x14ac:dyDescent="0.2">
      <c r="A27" s="32" t="s">
        <v>46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5">
        <v>0.38127283000000001</v>
      </c>
    </row>
  </sheetData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zoomScaleNormal="100" workbookViewId="0">
      <selection activeCell="C4" sqref="C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38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</row>
    <row r="2" spans="1:15" ht="15.75" customHeight="1" x14ac:dyDescent="0.2">
      <c r="A2" s="6" t="s">
        <v>116</v>
      </c>
      <c r="B2" s="14" t="s">
        <v>118</v>
      </c>
      <c r="C2" s="46">
        <f>IFERROR(1-_xlfn.NORM.DIST(_xlfn.NORM.INV(SUM(C4:C5), 0, 1) + 1, 0, 1, TRUE), "")</f>
        <v>0.54471569980476653</v>
      </c>
      <c r="D2" s="46">
        <f>IFERROR(1-_xlfn.NORM.DIST(_xlfn.NORM.INV(SUM(D4:D5), 0, 1) + 1, 0, 1, TRUE), "")</f>
        <v>0.54471569980476653</v>
      </c>
      <c r="E2" s="46">
        <f>IFERROR(1-_xlfn.NORM.DIST(_xlfn.NORM.INV(SUM(E4:E5), 0, 1) + 1, 0, 1, TRUE), "")</f>
        <v>0.44982829694488635</v>
      </c>
      <c r="F2" s="46">
        <f>IFERROR(1-_xlfn.NORM.DIST(_xlfn.NORM.INV(SUM(F4:F5), 0, 1) + 1, 0, 1, TRUE), "")</f>
        <v>0.24457139941017503</v>
      </c>
      <c r="G2" s="4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4" t="s">
        <v>119</v>
      </c>
      <c r="C3" s="46">
        <f>IFERROR(_xlfn.NORM.DIST(_xlfn.NORM.INV(SUM(C4:C5), 0, 1) + 1, 0, 1, TRUE) - _xlfn.SUM(C4:C5), "")</f>
        <v>0.32228430019523346</v>
      </c>
      <c r="D3" s="46">
        <f>IFERROR(_xlfn.NORM.DIST(_xlfn.NORM.INV(SUM(D4:D5), 0, 1) + 1, 0, 1, TRUE) - _xlfn.SUM(D4:D5), "")</f>
        <v>0.32228430019523346</v>
      </c>
      <c r="E3" s="46">
        <f>IFERROR(_xlfn.NORM.DIST(_xlfn.NORM.INV(SUM(E4:E5), 0, 1) + 1, 0, 1, TRUE) - _xlfn.SUM(E4:E5), "")</f>
        <v>0.35908666207150708</v>
      </c>
      <c r="F3" s="46">
        <f>IFERROR(_xlfn.NORM.DIST(_xlfn.NORM.INV(SUM(F4:F5), 0, 1) + 1, 0, 1, TRUE) - _xlfn.SUM(F4:F5), "")</f>
        <v>0.37651189492768178</v>
      </c>
      <c r="G3" s="46">
        <f>IFERROR(_xlfn.NORM.DIST(_xlfn.NORM.INV(SUM(G4:G5), 0, 1) + 1, 0, 1, TRUE) - _xlfn.SUM(G4:G5), "")</f>
        <v>0.37372365733745416</v>
      </c>
    </row>
    <row r="4" spans="1:15" ht="15.75" customHeight="1" x14ac:dyDescent="0.2">
      <c r="A4" s="5"/>
      <c r="B4" s="14" t="s">
        <v>117</v>
      </c>
      <c r="C4" s="39">
        <v>8.7000000000000008E-2</v>
      </c>
      <c r="D4" s="39">
        <v>8.7000000000000008E-2</v>
      </c>
      <c r="E4" s="39">
        <v>0.13443032786885245</v>
      </c>
      <c r="F4" s="39">
        <v>0.24673186710341602</v>
      </c>
      <c r="G4" s="39">
        <v>0.25929610299234518</v>
      </c>
    </row>
    <row r="5" spans="1:15" ht="15.75" customHeight="1" x14ac:dyDescent="0.2">
      <c r="A5" s="5"/>
      <c r="B5" s="14" t="s">
        <v>120</v>
      </c>
      <c r="C5" s="39">
        <v>4.5999999999999999E-2</v>
      </c>
      <c r="D5" s="39">
        <v>4.5999999999999999E-2</v>
      </c>
      <c r="E5" s="39">
        <v>5.6654713114754097E-2</v>
      </c>
      <c r="F5" s="39">
        <v>0.13218483855872717</v>
      </c>
      <c r="G5" s="39">
        <v>0.13428949199721643</v>
      </c>
    </row>
    <row r="6" spans="1:15" ht="15.75" customHeight="1" x14ac:dyDescent="0.2">
      <c r="B6" s="17"/>
      <c r="C6" s="40"/>
      <c r="D6" s="40"/>
      <c r="E6" s="40"/>
      <c r="F6" s="40"/>
      <c r="G6" s="40"/>
    </row>
    <row r="7" spans="1:15" ht="15.75" customHeight="1" x14ac:dyDescent="0.2">
      <c r="B7" s="17"/>
      <c r="C7" s="40"/>
      <c r="D7" s="40"/>
      <c r="E7" s="40"/>
      <c r="F7" s="40"/>
      <c r="G7" s="40"/>
    </row>
    <row r="8" spans="1:15" ht="15.75" customHeight="1" x14ac:dyDescent="0.2">
      <c r="A8" s="3" t="s">
        <v>115</v>
      </c>
      <c r="B8" s="9" t="s">
        <v>121</v>
      </c>
      <c r="C8" s="46">
        <f>IFERROR(1-_xlfn.NORM.DIST(_xlfn.NORM.INV(SUM(C10:C11), 0, 1) + 1, 0, 1, TRUE), "")</f>
        <v>0.6241955901533508</v>
      </c>
      <c r="D8" s="46">
        <f>IFERROR(1-_xlfn.NORM.DIST(_xlfn.NORM.INV(SUM(D10:D11), 0, 1) + 1, 0, 1, TRUE), "")</f>
        <v>0.6241955901533508</v>
      </c>
      <c r="E8" s="46">
        <f>IFERROR(1-_xlfn.NORM.DIST(_xlfn.NORM.INV(SUM(E10:E11), 0, 1) + 1, 0, 1, TRUE), "")</f>
        <v>0.68355843805440353</v>
      </c>
      <c r="F8" s="46">
        <f>IFERROR(1-_xlfn.NORM.DIST(_xlfn.NORM.INV(SUM(F10:F11), 0, 1) + 1, 0, 1, TRUE), "")</f>
        <v>0.73228840888273117</v>
      </c>
      <c r="G8" s="46">
        <f>IFERROR(1-_xlfn.NORM.DIST(_xlfn.NORM.INV(SUM(G10:G11), 0, 1) + 1, 0, 1, TRUE), "")</f>
        <v>0.81212055177975573</v>
      </c>
    </row>
    <row r="9" spans="1:15" ht="15.75" customHeight="1" x14ac:dyDescent="0.2">
      <c r="B9" s="9" t="s">
        <v>122</v>
      </c>
      <c r="C9" s="46">
        <f>IFERROR(_xlfn.NORM.DIST(_xlfn.NORM.INV(SUM(C10:C11), 0, 1) + 1, 0, 1, TRUE) - _xlfn.SUM(C10:C11), "")</f>
        <v>0.28180440984664923</v>
      </c>
      <c r="D9" s="46">
        <f>IFERROR(_xlfn.NORM.DIST(_xlfn.NORM.INV(SUM(D10:D11), 0, 1) + 1, 0, 1, TRUE) - _xlfn.SUM(D10:D11), "")</f>
        <v>0.28180440984664923</v>
      </c>
      <c r="E9" s="46">
        <f>IFERROR(_xlfn.NORM.DIST(_xlfn.NORM.INV(SUM(E10:E11), 0, 1) + 1, 0, 1, TRUE) - _xlfn.SUM(E10:E11), "")</f>
        <v>0.2466938696379041</v>
      </c>
      <c r="F9" s="46">
        <f>IFERROR(_xlfn.NORM.DIST(_xlfn.NORM.INV(SUM(F10:F11), 0, 1) + 1, 0, 1, TRUE) - _xlfn.SUM(F10:F11), "")</f>
        <v>0.21506846670192739</v>
      </c>
      <c r="G9" s="46">
        <f>IFERROR(_xlfn.NORM.DIST(_xlfn.NORM.INV(SUM(G10:G11), 0, 1) + 1, 0, 1, TRUE) - _xlfn.SUM(G10:G11), "")</f>
        <v>0.15821429221536368</v>
      </c>
    </row>
    <row r="10" spans="1:15" ht="15.75" customHeight="1" x14ac:dyDescent="0.2">
      <c r="B10" s="9" t="s">
        <v>123</v>
      </c>
      <c r="C10" s="39">
        <v>5.3999999999999999E-2</v>
      </c>
      <c r="D10" s="39">
        <v>5.3999999999999999E-2</v>
      </c>
      <c r="E10" s="39">
        <v>5.4022564102564105E-2</v>
      </c>
      <c r="F10" s="39">
        <v>4.2547708138447146E-2</v>
      </c>
      <c r="G10" s="39">
        <v>2.2330660624019519E-2</v>
      </c>
    </row>
    <row r="11" spans="1:15" ht="15.75" customHeight="1" x14ac:dyDescent="0.2">
      <c r="B11" s="9" t="s">
        <v>124</v>
      </c>
      <c r="C11" s="39">
        <v>0.04</v>
      </c>
      <c r="D11" s="39">
        <v>0.04</v>
      </c>
      <c r="E11" s="39">
        <v>1.5725128205128207E-2</v>
      </c>
      <c r="F11" s="39">
        <v>1.0095416276894293E-2</v>
      </c>
      <c r="G11" s="39">
        <v>7.3344953808610778E-3</v>
      </c>
    </row>
    <row r="12" spans="1:15" ht="15.75" customHeight="1" x14ac:dyDescent="0.2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2">
      <c r="A13" s="15" t="s">
        <v>70</v>
      </c>
      <c r="C13" s="19" t="s">
        <v>1</v>
      </c>
      <c r="D13" s="19" t="s">
        <v>2</v>
      </c>
      <c r="E13" s="19" t="s">
        <v>3</v>
      </c>
      <c r="F13" s="19" t="s">
        <v>4</v>
      </c>
      <c r="G13" s="19" t="s">
        <v>5</v>
      </c>
      <c r="H13" s="31" t="s">
        <v>53</v>
      </c>
      <c r="I13" s="31" t="s">
        <v>54</v>
      </c>
      <c r="J13" s="31" t="s">
        <v>55</v>
      </c>
      <c r="K13" s="31" t="s">
        <v>56</v>
      </c>
      <c r="L13" s="31" t="s">
        <v>49</v>
      </c>
      <c r="M13" s="31" t="s">
        <v>50</v>
      </c>
      <c r="N13" s="31" t="s">
        <v>51</v>
      </c>
      <c r="O13" s="31" t="s">
        <v>52</v>
      </c>
    </row>
    <row r="14" spans="1:15" ht="15.75" customHeight="1" x14ac:dyDescent="0.2">
      <c r="B14" s="19" t="s">
        <v>132</v>
      </c>
      <c r="C14" s="47">
        <v>0.1</v>
      </c>
      <c r="D14" s="47">
        <v>0.1</v>
      </c>
      <c r="E14" s="47">
        <v>0.78100000000000003</v>
      </c>
      <c r="F14" s="47">
        <v>0.72950000000000004</v>
      </c>
      <c r="G14" s="47">
        <v>0.48366666666666674</v>
      </c>
      <c r="H14" s="48">
        <v>0.47299999999999998</v>
      </c>
      <c r="I14" s="48">
        <v>0.44700000000000001</v>
      </c>
      <c r="J14" s="48">
        <v>0.433</v>
      </c>
      <c r="K14" s="48">
        <v>0.442</v>
      </c>
      <c r="L14" s="48">
        <v>0.47299999999999998</v>
      </c>
      <c r="M14" s="48">
        <v>0.44700000000000001</v>
      </c>
      <c r="N14" s="48">
        <v>0.433</v>
      </c>
      <c r="O14" s="48">
        <v>0.442</v>
      </c>
    </row>
    <row r="15" spans="1:15" ht="15.75" customHeight="1" x14ac:dyDescent="0.2">
      <c r="B15" s="19" t="s">
        <v>68</v>
      </c>
      <c r="C15" s="46">
        <f t="shared" ref="C15:O15" si="0">iron_deficiency_anaemia*C14</f>
        <v>4.2000000000000003E-2</v>
      </c>
      <c r="D15" s="46">
        <f t="shared" si="0"/>
        <v>4.2000000000000003E-2</v>
      </c>
      <c r="E15" s="46">
        <f t="shared" si="0"/>
        <v>0.32801999999999998</v>
      </c>
      <c r="F15" s="46">
        <f t="shared" si="0"/>
        <v>0.30639</v>
      </c>
      <c r="G15" s="46">
        <f t="shared" si="0"/>
        <v>0.20314000000000002</v>
      </c>
      <c r="H15" s="46">
        <f t="shared" si="0"/>
        <v>0.19865999999999998</v>
      </c>
      <c r="I15" s="46">
        <f t="shared" si="0"/>
        <v>0.18773999999999999</v>
      </c>
      <c r="J15" s="46">
        <f t="shared" si="0"/>
        <v>0.18185999999999999</v>
      </c>
      <c r="K15" s="46">
        <f t="shared" si="0"/>
        <v>0.18564</v>
      </c>
      <c r="L15" s="46">
        <f t="shared" si="0"/>
        <v>0.19865999999999998</v>
      </c>
      <c r="M15" s="46">
        <f t="shared" si="0"/>
        <v>0.18773999999999999</v>
      </c>
      <c r="N15" s="46">
        <f t="shared" si="0"/>
        <v>0.18185999999999999</v>
      </c>
      <c r="O15" s="46">
        <f t="shared" si="0"/>
        <v>0.18564</v>
      </c>
    </row>
    <row r="16" spans="1:15" ht="15.75" customHeight="1" x14ac:dyDescent="0.2">
      <c r="C16" s="10"/>
      <c r="D16" s="10"/>
      <c r="E16" s="10"/>
      <c r="F16" s="10"/>
      <c r="G16" s="10"/>
    </row>
    <row r="17" spans="3:7" ht="15.75" customHeight="1" x14ac:dyDescent="0.2">
      <c r="C17" s="10"/>
      <c r="D17" s="10"/>
      <c r="E17" s="10"/>
      <c r="F17" s="10"/>
      <c r="G17" s="10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tabSelected="1" zoomScaleNormal="100" workbookViewId="0">
      <selection activeCell="I19" sqref="I19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38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x14ac:dyDescent="0.2">
      <c r="A2" s="3" t="s">
        <v>24</v>
      </c>
      <c r="B2" s="61" t="s">
        <v>167</v>
      </c>
      <c r="C2" s="39">
        <v>0.84</v>
      </c>
      <c r="D2" s="39">
        <v>0.44307448494453255</v>
      </c>
      <c r="E2" s="39">
        <v>1.36244579358196E-2</v>
      </c>
      <c r="F2" s="39">
        <v>0</v>
      </c>
      <c r="G2" s="39">
        <v>0</v>
      </c>
    </row>
    <row r="3" spans="1:7" x14ac:dyDescent="0.2">
      <c r="B3" s="61" t="s">
        <v>168</v>
      </c>
      <c r="C3" s="39">
        <v>9.1999999999999998E-2</v>
      </c>
      <c r="D3" s="39">
        <v>0.21674801901743265</v>
      </c>
      <c r="E3" s="39">
        <v>3.2771032090199478E-2</v>
      </c>
      <c r="F3" s="39">
        <v>1E-3</v>
      </c>
      <c r="G3" s="39">
        <v>0</v>
      </c>
    </row>
    <row r="4" spans="1:7" x14ac:dyDescent="0.2">
      <c r="B4" s="61" t="s">
        <v>169</v>
      </c>
      <c r="C4" s="39">
        <v>5.8000000000000003E-2</v>
      </c>
      <c r="D4" s="39">
        <v>0.31577812995245641</v>
      </c>
      <c r="E4" s="39">
        <v>0.93464267129228107</v>
      </c>
      <c r="F4" s="39">
        <v>0.72099999999999997</v>
      </c>
      <c r="G4" s="39">
        <v>0</v>
      </c>
    </row>
    <row r="5" spans="1:7" x14ac:dyDescent="0.2">
      <c r="B5" s="61" t="s">
        <v>170</v>
      </c>
      <c r="C5" s="46">
        <f>1-SUM(C2:C4)</f>
        <v>1.0000000000000009E-2</v>
      </c>
      <c r="D5" s="46">
        <f t="shared" ref="D5:G5" si="0">1-SUM(D2:D4)</f>
        <v>2.4399366085578356E-2</v>
      </c>
      <c r="E5" s="46">
        <f t="shared" si="0"/>
        <v>1.8961838681699872E-2</v>
      </c>
      <c r="F5" s="46">
        <f t="shared" si="0"/>
        <v>0.27800000000000002</v>
      </c>
      <c r="G5" s="46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K14"/>
  <sheetViews>
    <sheetView zoomScale="115" zoomScaleNormal="115" workbookViewId="0">
      <selection activeCell="B14" sqref="B14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139</v>
      </c>
      <c r="B1" s="4" t="s">
        <v>146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140</v>
      </c>
      <c r="B2" s="17" t="s">
        <v>144</v>
      </c>
      <c r="C2" s="39"/>
      <c r="D2" s="39"/>
      <c r="E2" s="39"/>
      <c r="F2" s="39"/>
      <c r="G2" s="39"/>
      <c r="H2" s="39"/>
      <c r="I2" s="39"/>
      <c r="J2" s="39"/>
      <c r="K2" s="39"/>
    </row>
    <row r="3" spans="1:11" x14ac:dyDescent="0.2">
      <c r="B3" s="17"/>
    </row>
    <row r="4" spans="1:11" x14ac:dyDescent="0.2">
      <c r="A4" t="s">
        <v>141</v>
      </c>
      <c r="B4" s="17" t="s">
        <v>144</v>
      </c>
      <c r="C4" s="39"/>
      <c r="D4" s="39"/>
      <c r="E4" s="39"/>
      <c r="F4" s="39"/>
      <c r="G4" s="39"/>
      <c r="H4" s="39"/>
      <c r="I4" s="39"/>
      <c r="J4" s="39"/>
      <c r="K4" s="39"/>
    </row>
    <row r="5" spans="1:11" x14ac:dyDescent="0.2">
      <c r="B5" s="17"/>
    </row>
    <row r="6" spans="1:11" x14ac:dyDescent="0.2">
      <c r="A6" t="s">
        <v>142</v>
      </c>
      <c r="B6" s="17" t="s">
        <v>144</v>
      </c>
      <c r="C6" s="39"/>
      <c r="D6" s="39"/>
      <c r="E6" s="39"/>
      <c r="F6" s="39"/>
      <c r="G6" s="39"/>
      <c r="H6" s="39"/>
      <c r="I6" s="39"/>
      <c r="J6" s="39"/>
      <c r="K6" s="39"/>
    </row>
    <row r="7" spans="1:11" x14ac:dyDescent="0.2">
      <c r="B7" s="17" t="s">
        <v>32</v>
      </c>
      <c r="C7" s="39"/>
      <c r="D7" s="39"/>
      <c r="E7" s="39"/>
      <c r="F7" s="39"/>
      <c r="G7" s="39"/>
      <c r="H7" s="39"/>
      <c r="I7" s="39"/>
      <c r="J7" s="39"/>
      <c r="K7" s="39"/>
    </row>
    <row r="8" spans="1:11" x14ac:dyDescent="0.2">
      <c r="B8" s="17" t="s">
        <v>145</v>
      </c>
      <c r="C8" s="39"/>
      <c r="D8" s="39"/>
      <c r="E8" s="39"/>
      <c r="F8" s="39"/>
      <c r="G8" s="39"/>
      <c r="H8" s="39"/>
      <c r="I8" s="39"/>
      <c r="J8" s="39"/>
      <c r="K8" s="39"/>
    </row>
    <row r="10" spans="1:11" x14ac:dyDescent="0.2">
      <c r="A10" t="s">
        <v>143</v>
      </c>
      <c r="B10" s="19" t="s">
        <v>148</v>
      </c>
      <c r="C10" s="39"/>
      <c r="D10" s="39"/>
      <c r="E10" s="39"/>
      <c r="F10" s="39"/>
      <c r="G10" s="39"/>
      <c r="H10" s="39"/>
      <c r="I10" s="39"/>
      <c r="J10" s="39"/>
      <c r="K10" s="39"/>
    </row>
    <row r="11" spans="1:11" x14ac:dyDescent="0.2">
      <c r="B11" s="50" t="s">
        <v>147</v>
      </c>
      <c r="C11" s="39"/>
      <c r="D11" s="39"/>
      <c r="E11" s="39"/>
      <c r="F11" s="39"/>
      <c r="G11" s="39"/>
      <c r="H11" s="39"/>
      <c r="I11" s="39"/>
      <c r="J11" s="39"/>
      <c r="K11" s="39"/>
    </row>
    <row r="13" spans="1:11" x14ac:dyDescent="0.2">
      <c r="A13" s="15" t="s">
        <v>74</v>
      </c>
      <c r="B13" s="50" t="s">
        <v>149</v>
      </c>
      <c r="C13" s="39"/>
      <c r="D13" s="39"/>
      <c r="E13" s="39"/>
      <c r="F13" s="39"/>
      <c r="G13" s="39"/>
      <c r="H13" s="39"/>
      <c r="I13" s="39"/>
      <c r="J13" s="39"/>
      <c r="K13" s="39"/>
    </row>
    <row r="14" spans="1:11" x14ac:dyDescent="0.2">
      <c r="B14" s="19" t="s">
        <v>171</v>
      </c>
      <c r="C14" s="39"/>
      <c r="D14" s="39"/>
      <c r="E14" s="39"/>
      <c r="F14" s="39"/>
      <c r="G14" s="39"/>
      <c r="H14" s="39"/>
      <c r="I14" s="39"/>
      <c r="J14" s="39"/>
      <c r="K14" s="39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zoomScale="115" zoomScaleNormal="115" workbookViewId="0">
      <selection activeCell="G14" sqref="G14"/>
    </sheetView>
  </sheetViews>
  <sheetFormatPr defaultColWidth="11.42578125" defaultRowHeight="12.75" x14ac:dyDescent="0.2"/>
  <cols>
    <col min="1" max="1" width="17" style="53" customWidth="1"/>
    <col min="2" max="2" width="19.140625" style="53" customWidth="1"/>
    <col min="3" max="3" width="13.42578125" style="53" customWidth="1"/>
    <col min="4" max="16384" width="11.42578125" style="53"/>
  </cols>
  <sheetData>
    <row r="1" spans="1:5" x14ac:dyDescent="0.2">
      <c r="A1" s="66" t="s">
        <v>179</v>
      </c>
      <c r="B1" s="67" t="s">
        <v>178</v>
      </c>
      <c r="C1" s="67" t="s">
        <v>177</v>
      </c>
      <c r="D1" s="67" t="s">
        <v>176</v>
      </c>
      <c r="E1" s="67" t="s">
        <v>175</v>
      </c>
    </row>
    <row r="2" spans="1:5" x14ac:dyDescent="0.2">
      <c r="A2" s="65" t="s">
        <v>174</v>
      </c>
      <c r="B2" s="62" t="s">
        <v>32</v>
      </c>
      <c r="C2" s="92"/>
      <c r="D2" s="92"/>
      <c r="E2" s="93" t="str">
        <f>IF(E$7="","",E$7)</f>
        <v/>
      </c>
    </row>
    <row r="3" spans="1:5" x14ac:dyDescent="0.2">
      <c r="A3" s="63"/>
      <c r="B3" s="62" t="s">
        <v>1</v>
      </c>
      <c r="C3" s="92" t="b">
        <v>1</v>
      </c>
      <c r="D3" s="92"/>
      <c r="E3" s="93" t="str">
        <f>IF(E$7="","",E$7)</f>
        <v/>
      </c>
    </row>
    <row r="4" spans="1:5" x14ac:dyDescent="0.2">
      <c r="A4" s="63"/>
      <c r="B4" s="62" t="s">
        <v>2</v>
      </c>
      <c r="C4" s="92" t="b">
        <v>1</v>
      </c>
      <c r="D4" s="92"/>
      <c r="E4" s="93" t="str">
        <f>IF(E$7="","",E$7)</f>
        <v/>
      </c>
    </row>
    <row r="5" spans="1:5" x14ac:dyDescent="0.2">
      <c r="A5" s="63"/>
      <c r="B5" s="62" t="s">
        <v>3</v>
      </c>
      <c r="C5" s="92" t="b">
        <v>1</v>
      </c>
      <c r="D5" s="92"/>
      <c r="E5" s="93" t="str">
        <f>IF(E$7="","",E$7)</f>
        <v/>
      </c>
    </row>
    <row r="6" spans="1:5" x14ac:dyDescent="0.2">
      <c r="A6" s="63"/>
      <c r="B6" s="62" t="s">
        <v>4</v>
      </c>
      <c r="C6" s="92" t="b">
        <v>1</v>
      </c>
      <c r="D6" s="92"/>
      <c r="E6" s="93" t="str">
        <f>IF(E$7="","",E$7)</f>
        <v/>
      </c>
    </row>
    <row r="7" spans="1:5" x14ac:dyDescent="0.2">
      <c r="A7" s="63"/>
      <c r="B7" s="62" t="s">
        <v>173</v>
      </c>
      <c r="C7" s="94"/>
      <c r="D7" s="95"/>
      <c r="E7" s="92"/>
    </row>
    <row r="8" spans="1:5" x14ac:dyDescent="0.2">
      <c r="C8" s="96"/>
      <c r="D8" s="96"/>
      <c r="E8" s="96"/>
    </row>
    <row r="9" spans="1:5" x14ac:dyDescent="0.2">
      <c r="A9" s="65" t="s">
        <v>201</v>
      </c>
      <c r="B9" s="62" t="s">
        <v>32</v>
      </c>
      <c r="C9" s="92"/>
      <c r="D9" s="92" t="b">
        <v>1</v>
      </c>
      <c r="E9" s="93" t="str">
        <f>IF(E$7="","",E$7)</f>
        <v/>
      </c>
    </row>
    <row r="10" spans="1:5" x14ac:dyDescent="0.2">
      <c r="A10" s="63"/>
      <c r="B10" s="62" t="s">
        <v>1</v>
      </c>
      <c r="C10" s="92"/>
      <c r="D10" s="92"/>
      <c r="E10" s="93" t="str">
        <f>IF(E$7="","",E$7)</f>
        <v/>
      </c>
    </row>
    <row r="11" spans="1:5" x14ac:dyDescent="0.2">
      <c r="A11" s="63"/>
      <c r="B11" s="62" t="s">
        <v>2</v>
      </c>
      <c r="C11" s="92"/>
      <c r="D11" s="92"/>
      <c r="E11" s="93" t="str">
        <f>IF(E$7="","",E$7)</f>
        <v/>
      </c>
    </row>
    <row r="12" spans="1:5" x14ac:dyDescent="0.2">
      <c r="A12" s="63"/>
      <c r="B12" s="62" t="s">
        <v>3</v>
      </c>
      <c r="C12" s="92"/>
      <c r="D12" s="92"/>
      <c r="E12" s="93" t="str">
        <f>IF(E$7="","",E$7)</f>
        <v/>
      </c>
    </row>
    <row r="13" spans="1:5" x14ac:dyDescent="0.2">
      <c r="A13" s="63"/>
      <c r="B13" s="62" t="s">
        <v>4</v>
      </c>
      <c r="C13" s="92"/>
      <c r="D13" s="92"/>
      <c r="E13" s="93" t="str">
        <f>IF(E$7="","",E$7)</f>
        <v/>
      </c>
    </row>
    <row r="14" spans="1:5" x14ac:dyDescent="0.2">
      <c r="A14" s="63"/>
      <c r="B14" s="62" t="s">
        <v>173</v>
      </c>
      <c r="C14" s="94"/>
      <c r="D14" s="95"/>
      <c r="E14" s="92"/>
    </row>
    <row r="15" spans="1:5" x14ac:dyDescent="0.2">
      <c r="C15" s="96"/>
      <c r="D15" s="96"/>
      <c r="E15" s="96"/>
    </row>
    <row r="16" spans="1:5" x14ac:dyDescent="0.2">
      <c r="A16" s="65" t="s">
        <v>202</v>
      </c>
      <c r="B16" s="62" t="s">
        <v>32</v>
      </c>
      <c r="C16" s="92"/>
      <c r="D16" s="92" t="b">
        <v>1</v>
      </c>
      <c r="E16" s="93" t="str">
        <f>IF(E$7="","",E$7)</f>
        <v/>
      </c>
    </row>
    <row r="17" spans="1:5" x14ac:dyDescent="0.2">
      <c r="A17" s="63"/>
      <c r="B17" s="62" t="s">
        <v>1</v>
      </c>
      <c r="C17" s="92"/>
      <c r="D17" s="92" t="b">
        <v>1</v>
      </c>
      <c r="E17" s="93" t="str">
        <f>IF(E$7="","",E$7)</f>
        <v/>
      </c>
    </row>
    <row r="18" spans="1:5" x14ac:dyDescent="0.2">
      <c r="A18" s="63"/>
      <c r="B18" s="62" t="s">
        <v>2</v>
      </c>
      <c r="C18" s="92"/>
      <c r="D18" s="92" t="b">
        <v>1</v>
      </c>
      <c r="E18" s="93" t="str">
        <f>IF(E$7="","",E$7)</f>
        <v/>
      </c>
    </row>
    <row r="19" spans="1:5" x14ac:dyDescent="0.2">
      <c r="A19" s="63"/>
      <c r="B19" s="62" t="s">
        <v>3</v>
      </c>
      <c r="C19" s="92"/>
      <c r="D19" s="92" t="b">
        <v>1</v>
      </c>
      <c r="E19" s="93" t="str">
        <f>IF(E$7="","",E$7)</f>
        <v/>
      </c>
    </row>
    <row r="20" spans="1:5" x14ac:dyDescent="0.2">
      <c r="A20" s="63"/>
      <c r="B20" s="62" t="s">
        <v>4</v>
      </c>
      <c r="C20" s="92"/>
      <c r="D20" s="92" t="b">
        <v>1</v>
      </c>
      <c r="E20" s="93" t="str">
        <f>IF(E$7="","",E$7)</f>
        <v/>
      </c>
    </row>
    <row r="21" spans="1:5" x14ac:dyDescent="0.2">
      <c r="A21" s="63"/>
      <c r="B21" s="62" t="s">
        <v>173</v>
      </c>
      <c r="C21" s="94"/>
      <c r="D21" s="95"/>
      <c r="E21" s="92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zoomScaleNormal="100" workbookViewId="0">
      <selection activeCell="F11" sqref="F11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21" customWidth="1"/>
    <col min="4" max="4" width="12.85546875" customWidth="1"/>
  </cols>
  <sheetData>
    <row r="1" spans="1:4" x14ac:dyDescent="0.2">
      <c r="A1" s="87" t="s">
        <v>165</v>
      </c>
      <c r="B1" s="67" t="s">
        <v>182</v>
      </c>
      <c r="C1" s="88" t="s">
        <v>183</v>
      </c>
      <c r="D1" s="88" t="s">
        <v>187</v>
      </c>
    </row>
    <row r="2" spans="1:4" x14ac:dyDescent="0.2">
      <c r="A2" s="88" t="s">
        <v>69</v>
      </c>
      <c r="B2" s="62" t="s">
        <v>67</v>
      </c>
      <c r="C2" s="62" t="s">
        <v>184</v>
      </c>
      <c r="D2" s="92"/>
    </row>
    <row r="3" spans="1:4" x14ac:dyDescent="0.2">
      <c r="A3" s="88" t="s">
        <v>186</v>
      </c>
      <c r="B3" s="62" t="s">
        <v>177</v>
      </c>
      <c r="C3" s="62" t="s">
        <v>185</v>
      </c>
      <c r="D3" s="9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F36"/>
  <sheetViews>
    <sheetView workbookViewId="0">
      <selection activeCell="F11" sqref="F11"/>
    </sheetView>
  </sheetViews>
  <sheetFormatPr defaultColWidth="14.42578125" defaultRowHeight="15.75" customHeight="1" x14ac:dyDescent="0.2"/>
  <cols>
    <col min="1" max="1" width="56" style="68" customWidth="1"/>
    <col min="2" max="2" width="20" style="54" customWidth="1"/>
    <col min="3" max="3" width="20.42578125" style="53" customWidth="1"/>
    <col min="4" max="4" width="20.140625" style="53" customWidth="1"/>
    <col min="5" max="16384" width="14.42578125" style="53"/>
  </cols>
  <sheetData>
    <row r="1" spans="1:5" ht="25.5" x14ac:dyDescent="0.2">
      <c r="A1" s="77" t="s">
        <v>69</v>
      </c>
      <c r="B1" s="91" t="str">
        <f>"Baseline ("&amp;start_year&amp;") coverage"</f>
        <v>Baseline (2017) coverage</v>
      </c>
      <c r="C1" s="76" t="s">
        <v>203</v>
      </c>
      <c r="D1" s="75" t="s">
        <v>204</v>
      </c>
    </row>
    <row r="2" spans="1:5" ht="15.75" customHeight="1" x14ac:dyDescent="0.2">
      <c r="A2" s="68" t="s">
        <v>29</v>
      </c>
      <c r="B2" s="69">
        <v>0</v>
      </c>
      <c r="C2" s="69">
        <v>0.95</v>
      </c>
      <c r="D2" s="70">
        <v>25</v>
      </c>
    </row>
    <row r="3" spans="1:5" ht="15.75" customHeight="1" x14ac:dyDescent="0.2">
      <c r="A3" s="68" t="s">
        <v>86</v>
      </c>
      <c r="B3" s="69">
        <v>0</v>
      </c>
      <c r="C3" s="69">
        <v>0.95</v>
      </c>
      <c r="D3" s="70">
        <v>1</v>
      </c>
      <c r="E3" s="61"/>
    </row>
    <row r="4" spans="1:5" ht="15.75" customHeight="1" x14ac:dyDescent="0.2">
      <c r="A4" s="68" t="s">
        <v>61</v>
      </c>
      <c r="B4" s="69">
        <v>0</v>
      </c>
      <c r="C4" s="69">
        <v>0.95</v>
      </c>
      <c r="D4" s="70">
        <v>90</v>
      </c>
      <c r="E4" s="61"/>
    </row>
    <row r="5" spans="1:5" ht="15.75" customHeight="1" x14ac:dyDescent="0.2">
      <c r="A5" s="68" t="s">
        <v>200</v>
      </c>
      <c r="B5" s="69">
        <v>0</v>
      </c>
      <c r="C5" s="69">
        <v>0.95</v>
      </c>
      <c r="D5" s="71">
        <f>SUM('Programs family planning'!E2:E10)</f>
        <v>0.82100000000000006</v>
      </c>
      <c r="E5" s="74"/>
    </row>
    <row r="6" spans="1:5" ht="15.75" customHeight="1" x14ac:dyDescent="0.2">
      <c r="A6" s="68" t="s">
        <v>63</v>
      </c>
      <c r="B6" s="69">
        <v>0.36</v>
      </c>
      <c r="C6" s="69">
        <v>0.95</v>
      </c>
      <c r="D6" s="70">
        <v>0.25</v>
      </c>
      <c r="E6" s="73"/>
    </row>
    <row r="7" spans="1:5" ht="15.75" customHeight="1" x14ac:dyDescent="0.2">
      <c r="A7" s="86" t="s">
        <v>189</v>
      </c>
      <c r="B7" s="69">
        <v>0</v>
      </c>
      <c r="C7" s="69">
        <v>0.95</v>
      </c>
      <c r="D7" s="70">
        <v>0.73</v>
      </c>
    </row>
    <row r="8" spans="1:5" ht="15.75" customHeight="1" x14ac:dyDescent="0.2">
      <c r="A8" s="86" t="s">
        <v>190</v>
      </c>
      <c r="B8" s="69">
        <v>0</v>
      </c>
      <c r="C8" s="69">
        <v>0.95</v>
      </c>
      <c r="D8" s="70">
        <v>1.78</v>
      </c>
    </row>
    <row r="9" spans="1:5" ht="15.75" customHeight="1" x14ac:dyDescent="0.2">
      <c r="A9" s="86" t="s">
        <v>191</v>
      </c>
      <c r="B9" s="69">
        <v>0</v>
      </c>
      <c r="C9" s="69">
        <v>0.95</v>
      </c>
      <c r="D9" s="70">
        <v>0.24</v>
      </c>
    </row>
    <row r="10" spans="1:5" ht="15.75" customHeight="1" x14ac:dyDescent="0.2">
      <c r="A10" s="86" t="s">
        <v>192</v>
      </c>
      <c r="B10" s="69">
        <v>0</v>
      </c>
      <c r="C10" s="69">
        <v>0.95</v>
      </c>
      <c r="D10" s="70">
        <v>0.55000000000000004</v>
      </c>
    </row>
    <row r="11" spans="1:5" ht="15.75" customHeight="1" x14ac:dyDescent="0.2">
      <c r="A11" s="14" t="s">
        <v>188</v>
      </c>
      <c r="B11" s="69">
        <v>0</v>
      </c>
      <c r="C11" s="69">
        <v>0.95</v>
      </c>
      <c r="D11" s="70">
        <v>0.73</v>
      </c>
    </row>
    <row r="12" spans="1:5" ht="15.75" customHeight="1" x14ac:dyDescent="0.2">
      <c r="A12" s="14" t="s">
        <v>193</v>
      </c>
      <c r="B12" s="69">
        <v>0</v>
      </c>
      <c r="C12" s="69">
        <v>0.95</v>
      </c>
      <c r="D12" s="70">
        <v>1.78</v>
      </c>
    </row>
    <row r="13" spans="1:5" ht="15.75" customHeight="1" x14ac:dyDescent="0.2">
      <c r="A13" s="68" t="s">
        <v>57</v>
      </c>
      <c r="B13" s="69">
        <v>0.34599999999999997</v>
      </c>
      <c r="C13" s="69">
        <v>0.95</v>
      </c>
      <c r="D13" s="70">
        <v>2.06</v>
      </c>
      <c r="E13" s="61"/>
    </row>
    <row r="14" spans="1:5" ht="15.75" customHeight="1" x14ac:dyDescent="0.2">
      <c r="A14" s="68" t="s">
        <v>47</v>
      </c>
      <c r="B14" s="69">
        <v>0.80800000000000005</v>
      </c>
      <c r="C14" s="69">
        <v>0.95</v>
      </c>
      <c r="D14" s="70">
        <v>0.05</v>
      </c>
      <c r="E14" s="61"/>
    </row>
    <row r="15" spans="1:5" ht="15.95" customHeight="1" x14ac:dyDescent="0.2">
      <c r="A15" s="68" t="s">
        <v>174</v>
      </c>
      <c r="B15" s="69">
        <v>0</v>
      </c>
      <c r="C15" s="69">
        <v>0.95</v>
      </c>
      <c r="D15" s="85">
        <f>SUMPRODUCT(('IYCF cost'!$C$2:$E$6)*('IYCF packages'!$C$2:$E$6&lt;&gt;""))</f>
        <v>3.66</v>
      </c>
    </row>
    <row r="16" spans="1:5" ht="15.75" customHeight="1" x14ac:dyDescent="0.2">
      <c r="A16" s="68" t="s">
        <v>201</v>
      </c>
      <c r="B16" s="69">
        <v>0</v>
      </c>
      <c r="C16" s="69">
        <v>0.95</v>
      </c>
      <c r="D16" s="85">
        <f>SUMPRODUCT(('IYCF cost'!$C$2:$E$6)*('IYCF packages'!$C$9:$E$13&lt;&gt;""))</f>
        <v>3.78</v>
      </c>
    </row>
    <row r="17" spans="1:5" ht="15.75" customHeight="1" x14ac:dyDescent="0.2">
      <c r="A17" s="68" t="s">
        <v>202</v>
      </c>
      <c r="B17" s="69">
        <v>0</v>
      </c>
      <c r="C17" s="69">
        <v>0.95</v>
      </c>
      <c r="D17" s="85">
        <f>SUMPRODUCT(('IYCF cost'!$C$2:$E$6)*('IYCF packages'!$C$16:$E$20&lt;&gt;""))</f>
        <v>14.270000000000001</v>
      </c>
    </row>
    <row r="18" spans="1:5" ht="15.75" customHeight="1" x14ac:dyDescent="0.2">
      <c r="A18" s="68" t="s">
        <v>198</v>
      </c>
      <c r="B18" s="69">
        <v>0</v>
      </c>
      <c r="C18" s="69">
        <v>0.95</v>
      </c>
      <c r="D18" s="70">
        <v>8.84</v>
      </c>
    </row>
    <row r="19" spans="1:5" ht="15.75" customHeight="1" x14ac:dyDescent="0.2">
      <c r="A19" s="68" t="s">
        <v>137</v>
      </c>
      <c r="B19" s="69">
        <v>0</v>
      </c>
      <c r="C19" s="69">
        <v>0.95</v>
      </c>
      <c r="D19" s="70">
        <v>50</v>
      </c>
      <c r="E19" s="61"/>
    </row>
    <row r="20" spans="1:5" ht="15.75" customHeight="1" x14ac:dyDescent="0.2">
      <c r="A20" s="68" t="s">
        <v>34</v>
      </c>
      <c r="B20" s="69">
        <v>0.50800000000000001</v>
      </c>
      <c r="C20" s="69">
        <v>0.95</v>
      </c>
      <c r="D20" s="70">
        <v>2.61</v>
      </c>
      <c r="E20" s="61"/>
    </row>
    <row r="21" spans="1:5" ht="15.75" customHeight="1" x14ac:dyDescent="0.2">
      <c r="A21" s="68" t="s">
        <v>88</v>
      </c>
      <c r="B21" s="69">
        <v>0</v>
      </c>
      <c r="C21" s="69">
        <v>0.95</v>
      </c>
      <c r="D21" s="70">
        <v>1</v>
      </c>
      <c r="E21" s="61"/>
    </row>
    <row r="22" spans="1:5" ht="15.75" customHeight="1" x14ac:dyDescent="0.2">
      <c r="A22" s="68" t="s">
        <v>87</v>
      </c>
      <c r="B22" s="69">
        <v>0</v>
      </c>
      <c r="C22" s="69">
        <v>0.95</v>
      </c>
      <c r="D22" s="70">
        <v>1</v>
      </c>
      <c r="E22" s="72"/>
    </row>
    <row r="23" spans="1:5" ht="15.75" customHeight="1" x14ac:dyDescent="0.2">
      <c r="A23" s="68" t="s">
        <v>138</v>
      </c>
      <c r="B23" s="69">
        <v>0.1</v>
      </c>
      <c r="C23" s="69">
        <v>0.95</v>
      </c>
      <c r="D23" s="70">
        <v>4.6500000000000004</v>
      </c>
      <c r="E23" s="61"/>
    </row>
    <row r="24" spans="1:5" ht="15.75" customHeight="1" x14ac:dyDescent="0.2">
      <c r="A24" s="68" t="s">
        <v>59</v>
      </c>
      <c r="B24" s="69">
        <v>0.3538</v>
      </c>
      <c r="C24" s="69">
        <v>0.95</v>
      </c>
      <c r="D24" s="70">
        <v>3.78</v>
      </c>
      <c r="E24" s="61"/>
    </row>
    <row r="25" spans="1:5" ht="15.75" customHeight="1" x14ac:dyDescent="0.2">
      <c r="A25" s="68" t="s">
        <v>84</v>
      </c>
      <c r="B25" s="69">
        <v>0</v>
      </c>
      <c r="C25" s="69">
        <v>0.95</v>
      </c>
      <c r="D25" s="70">
        <v>1</v>
      </c>
    </row>
    <row r="26" spans="1:5" ht="15.75" customHeight="1" x14ac:dyDescent="0.2">
      <c r="A26" s="68" t="s">
        <v>58</v>
      </c>
      <c r="B26" s="69">
        <v>0</v>
      </c>
      <c r="C26" s="69">
        <v>0.95</v>
      </c>
      <c r="D26" s="70">
        <v>48</v>
      </c>
    </row>
    <row r="27" spans="1:5" ht="15.75" customHeight="1" x14ac:dyDescent="0.2">
      <c r="A27" s="68" t="s">
        <v>67</v>
      </c>
      <c r="B27" s="69">
        <v>0</v>
      </c>
      <c r="C27" s="69">
        <v>0.95</v>
      </c>
      <c r="D27" s="71">
        <f>90*AVERAGE('Incidence of conditions'!B4:F4) + 40*AVERAGE('Incidence of conditions'!B3:F3)*IF(ISBLANK(manage_mam), 0, 1)</f>
        <v>5.2956558655829511</v>
      </c>
    </row>
    <row r="28" spans="1:5" ht="15.75" customHeight="1" x14ac:dyDescent="0.2">
      <c r="A28" s="68" t="s">
        <v>28</v>
      </c>
      <c r="B28" s="69">
        <v>0.89970000000000006</v>
      </c>
      <c r="C28" s="69">
        <v>0.95</v>
      </c>
      <c r="D28" s="70">
        <v>0.41</v>
      </c>
    </row>
    <row r="29" spans="1:5" ht="15.75" customHeight="1" x14ac:dyDescent="0.2">
      <c r="A29" s="68" t="s">
        <v>83</v>
      </c>
      <c r="B29" s="69">
        <v>0.80700000000000005</v>
      </c>
      <c r="C29" s="69">
        <v>0.95</v>
      </c>
      <c r="D29" s="70">
        <v>0.9</v>
      </c>
    </row>
    <row r="30" spans="1:5" ht="15.75" customHeight="1" x14ac:dyDescent="0.2">
      <c r="A30" s="68" t="s">
        <v>82</v>
      </c>
      <c r="B30" s="69">
        <v>0.73199999999999998</v>
      </c>
      <c r="C30" s="69">
        <v>0.95</v>
      </c>
      <c r="D30" s="70">
        <v>0.9</v>
      </c>
    </row>
    <row r="31" spans="1:5" ht="15.75" customHeight="1" x14ac:dyDescent="0.2">
      <c r="A31" s="68" t="s">
        <v>81</v>
      </c>
      <c r="B31" s="69">
        <v>0.316</v>
      </c>
      <c r="C31" s="69">
        <v>0.95</v>
      </c>
      <c r="D31" s="70">
        <v>79</v>
      </c>
    </row>
    <row r="32" spans="1:5" ht="15.75" customHeight="1" x14ac:dyDescent="0.2">
      <c r="A32" s="68" t="s">
        <v>79</v>
      </c>
      <c r="B32" s="69">
        <v>0.59699999999999998</v>
      </c>
      <c r="C32" s="69">
        <v>0.95</v>
      </c>
      <c r="D32" s="70">
        <v>31</v>
      </c>
    </row>
    <row r="33" spans="1:6" s="54" customFormat="1" ht="15.75" customHeight="1" x14ac:dyDescent="0.2">
      <c r="A33" s="68" t="s">
        <v>80</v>
      </c>
      <c r="B33" s="69">
        <v>0.19900000000000001</v>
      </c>
      <c r="C33" s="69">
        <v>0.95</v>
      </c>
      <c r="D33" s="70">
        <v>102</v>
      </c>
      <c r="F33" s="53"/>
    </row>
    <row r="34" spans="1:6" ht="15.75" customHeight="1" x14ac:dyDescent="0.2">
      <c r="A34" s="68" t="s">
        <v>85</v>
      </c>
      <c r="B34" s="69">
        <v>0.13400000000000001</v>
      </c>
      <c r="C34" s="69">
        <v>0.95</v>
      </c>
      <c r="D34" s="70">
        <v>5.53</v>
      </c>
    </row>
    <row r="35" spans="1:6" ht="15.75" customHeight="1" x14ac:dyDescent="0.2">
      <c r="A35" s="68" t="s">
        <v>60</v>
      </c>
      <c r="B35" s="69">
        <v>0</v>
      </c>
      <c r="C35" s="69">
        <v>0.95</v>
      </c>
      <c r="D35" s="70">
        <v>1</v>
      </c>
    </row>
    <row r="36" spans="1:6" ht="15.75" customHeight="1" x14ac:dyDescent="0.2">
      <c r="F36" s="54"/>
    </row>
  </sheetData>
  <sortState ref="A2:D35">
    <sortCondition ref="A2:A35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45</vt:i4>
      </vt:variant>
    </vt:vector>
  </HeadingPairs>
  <TitlesOfParts>
    <vt:vector size="60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cliffk</cp:lastModifiedBy>
  <dcterms:created xsi:type="dcterms:W3CDTF">2017-08-01T10:42:13Z</dcterms:created>
  <dcterms:modified xsi:type="dcterms:W3CDTF">2018-09-26T14:58:36Z</dcterms:modified>
</cp:coreProperties>
</file>