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BCE0F859-AFCB-4C67-9532-6CBB66292498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I37" i="2"/>
  <c r="H37" i="2"/>
  <c r="G37" i="2"/>
  <c r="A37" i="2"/>
  <c r="H36" i="2"/>
  <c r="I36" i="2" s="1"/>
  <c r="G36" i="2"/>
  <c r="I35" i="2"/>
  <c r="H35" i="2"/>
  <c r="G35" i="2"/>
  <c r="A35" i="2"/>
  <c r="H34" i="2"/>
  <c r="I34" i="2" s="1"/>
  <c r="G34" i="2"/>
  <c r="I33" i="2"/>
  <c r="H33" i="2"/>
  <c r="G33" i="2"/>
  <c r="A33" i="2"/>
  <c r="H32" i="2"/>
  <c r="I32" i="2" s="1"/>
  <c r="G32" i="2"/>
  <c r="I31" i="2"/>
  <c r="H31" i="2"/>
  <c r="G31" i="2"/>
  <c r="A31" i="2"/>
  <c r="H30" i="2"/>
  <c r="I30" i="2" s="1"/>
  <c r="G30" i="2"/>
  <c r="H29" i="2"/>
  <c r="I29" i="2" s="1"/>
  <c r="G29" i="2"/>
  <c r="A29" i="2"/>
  <c r="H28" i="2"/>
  <c r="I28" i="2" s="1"/>
  <c r="G28" i="2"/>
  <c r="H27" i="2"/>
  <c r="I27" i="2" s="1"/>
  <c r="G27" i="2"/>
  <c r="A27" i="2"/>
  <c r="H26" i="2"/>
  <c r="I26" i="2" s="1"/>
  <c r="G26" i="2"/>
  <c r="H25" i="2"/>
  <c r="I25" i="2" s="1"/>
  <c r="G25" i="2"/>
  <c r="A25" i="2"/>
  <c r="H24" i="2"/>
  <c r="I24" i="2" s="1"/>
  <c r="G24" i="2"/>
  <c r="H23" i="2"/>
  <c r="I23" i="2" s="1"/>
  <c r="G23" i="2"/>
  <c r="A23" i="2"/>
  <c r="H22" i="2"/>
  <c r="I22" i="2" s="1"/>
  <c r="G22" i="2"/>
  <c r="H21" i="2"/>
  <c r="I21" i="2" s="1"/>
  <c r="G21" i="2"/>
  <c r="A21" i="2"/>
  <c r="H20" i="2"/>
  <c r="I20" i="2" s="1"/>
  <c r="G20" i="2"/>
  <c r="H19" i="2"/>
  <c r="I19" i="2" s="1"/>
  <c r="G19" i="2"/>
  <c r="A19" i="2"/>
  <c r="H18" i="2"/>
  <c r="I18" i="2" s="1"/>
  <c r="G18" i="2"/>
  <c r="H17" i="2"/>
  <c r="I17" i="2" s="1"/>
  <c r="G17" i="2"/>
  <c r="A17" i="2"/>
  <c r="H16" i="2"/>
  <c r="I16" i="2" s="1"/>
  <c r="G16" i="2"/>
  <c r="H15" i="2"/>
  <c r="I15" i="2" s="1"/>
  <c r="G15" i="2"/>
  <c r="A15" i="2"/>
  <c r="H14" i="2"/>
  <c r="I14" i="2" s="1"/>
  <c r="G14" i="2"/>
  <c r="H13" i="2"/>
  <c r="I13" i="2" s="1"/>
  <c r="G13" i="2"/>
  <c r="A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<sst xmlns="http://schemas.openxmlformats.org/spreadsheetml/2006/main" count="2089" uniqueCount="342">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</sst>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4152779.5</v>
      </c>
    </row>
    <row r="8" spans="1:3" ht="15" customHeight="1" x14ac:dyDescent="0.25">
      <c r="B8" s="7" t="s">
        <v>8</v>
      </c>
      <c r="C8" s="37">
        <v>0.188</v>
      </c>
    </row>
    <row r="9" spans="1:3" ht="15" customHeight="1" x14ac:dyDescent="0.25">
      <c r="B9" s="7" t="s">
        <v>9</v>
      </c>
      <c r="C9" s="38">
        <v>0.47</v>
      </c>
    </row>
    <row r="10" spans="1:3" ht="15" customHeight="1" x14ac:dyDescent="0.25">
      <c r="B10" s="7" t="s">
        <v>10</v>
      </c>
      <c r="C10" s="38">
        <v>0.39787429809570302</v>
      </c>
    </row>
    <row r="11" spans="1:3" ht="15" customHeight="1" x14ac:dyDescent="0.25">
      <c r="B11" s="7" t="s">
        <v>11</v>
      </c>
      <c r="C11" s="37">
        <v>0.251</v>
      </c>
    </row>
    <row r="12" spans="1:3" ht="15" customHeight="1" x14ac:dyDescent="0.25">
      <c r="B12" s="7" t="s">
        <v>12</v>
      </c>
      <c r="C12" s="37">
        <v>0.34</v>
      </c>
    </row>
    <row r="13" spans="1:3" ht="15" customHeight="1" x14ac:dyDescent="0.25">
      <c r="B13" s="7" t="s">
        <v>13</v>
      </c>
      <c r="C13" s="37">
        <v>0.53100000000000003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8.5299999999999987E-2</v>
      </c>
    </row>
    <row r="24" spans="1:3" ht="15" customHeight="1" x14ac:dyDescent="0.25">
      <c r="B24" s="10" t="s">
        <v>22</v>
      </c>
      <c r="C24" s="38">
        <v>0.48899999999999999</v>
      </c>
    </row>
    <row r="25" spans="1:3" ht="15" customHeight="1" x14ac:dyDescent="0.25">
      <c r="B25" s="10" t="s">
        <v>23</v>
      </c>
      <c r="C25" s="38">
        <v>0.35580000000000001</v>
      </c>
    </row>
    <row r="26" spans="1:3" ht="15" customHeight="1" x14ac:dyDescent="0.25">
      <c r="B26" s="10" t="s">
        <v>24</v>
      </c>
      <c r="C26" s="38">
        <v>0.1099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0.20667212370865701</v>
      </c>
    </row>
    <row r="30" spans="1:3" ht="14.25" customHeight="1" x14ac:dyDescent="0.25">
      <c r="B30" s="16" t="s">
        <v>27</v>
      </c>
      <c r="C30" s="98">
        <v>0.11137509658186601</v>
      </c>
    </row>
    <row r="31" spans="1:3" ht="14.25" customHeight="1" x14ac:dyDescent="0.25">
      <c r="B31" s="16" t="s">
        <v>28</v>
      </c>
      <c r="C31" s="98">
        <v>0.12654954789311601</v>
      </c>
    </row>
    <row r="32" spans="1:3" ht="14.25" customHeight="1" x14ac:dyDescent="0.25">
      <c r="B32" s="16" t="s">
        <v>29</v>
      </c>
      <c r="C32" s="98">
        <v>0.55540323181636098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26.654184062716901</v>
      </c>
    </row>
    <row r="38" spans="1:5" ht="15" customHeight="1" x14ac:dyDescent="0.25">
      <c r="B38" s="22" t="s">
        <v>34</v>
      </c>
      <c r="C38" s="36">
        <v>43.623031486157103</v>
      </c>
      <c r="D38" s="107"/>
      <c r="E38" s="108"/>
    </row>
    <row r="39" spans="1:5" ht="15" customHeight="1" x14ac:dyDescent="0.25">
      <c r="B39" s="22" t="s">
        <v>35</v>
      </c>
      <c r="C39" s="36">
        <v>58.356138238951203</v>
      </c>
      <c r="D39" s="107"/>
      <c r="E39" s="107"/>
    </row>
    <row r="40" spans="1:5" ht="15" customHeight="1" x14ac:dyDescent="0.25">
      <c r="B40" s="22" t="s">
        <v>36</v>
      </c>
      <c r="C40" s="109">
        <v>1.64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23.729724780000002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2.9392000000000001E-2</v>
      </c>
      <c r="D45" s="107"/>
    </row>
    <row r="46" spans="1:5" ht="15.75" customHeight="1" x14ac:dyDescent="0.25">
      <c r="B46" s="22" t="s">
        <v>41</v>
      </c>
      <c r="C46" s="38">
        <v>0.10240050000000001</v>
      </c>
      <c r="D46" s="107"/>
    </row>
    <row r="47" spans="1:5" ht="15.75" customHeight="1" x14ac:dyDescent="0.25">
      <c r="B47" s="22" t="s">
        <v>42</v>
      </c>
      <c r="C47" s="38">
        <v>0.39395839999999999</v>
      </c>
      <c r="D47" s="107"/>
      <c r="E47" s="108"/>
    </row>
    <row r="48" spans="1:5" ht="15" customHeight="1" x14ac:dyDescent="0.25">
      <c r="B48" s="22" t="s">
        <v>43</v>
      </c>
      <c r="C48" s="39">
        <v>0.47424909999999998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2.9</v>
      </c>
      <c r="D51" s="107"/>
    </row>
    <row r="52" spans="1:4" ht="15" customHeight="1" x14ac:dyDescent="0.25">
      <c r="B52" s="22" t="s">
        <v>46</v>
      </c>
      <c r="C52" s="41">
        <v>2.9</v>
      </c>
    </row>
    <row r="53" spans="1:4" ht="15.75" customHeight="1" x14ac:dyDescent="0.25">
      <c r="B53" s="22" t="s">
        <v>47</v>
      </c>
      <c r="C53" s="41">
        <v>2.9</v>
      </c>
    </row>
    <row r="54" spans="1:4" ht="15.75" customHeight="1" x14ac:dyDescent="0.25">
      <c r="B54" s="22" t="s">
        <v>48</v>
      </c>
      <c r="C54" s="41">
        <v>2.9</v>
      </c>
    </row>
    <row r="55" spans="1:4" ht="15.75" customHeight="1" x14ac:dyDescent="0.25">
      <c r="B55" s="22" t="s">
        <v>49</v>
      </c>
      <c r="C55" s="41">
        <v>2.9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2.0689655172413789E-2</v>
      </c>
    </row>
    <row r="59" spans="1:4" ht="15.75" customHeight="1" x14ac:dyDescent="0.25">
      <c r="B59" s="22" t="s">
        <v>52</v>
      </c>
      <c r="C59" s="37">
        <v>0.53084200000000004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0.14599999999999999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0.190640951956145</v>
      </c>
      <c r="C2" s="95">
        <v>0.95</v>
      </c>
      <c r="D2" s="96">
        <v>37.913661484151682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42.521345352857793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99.033477395463237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0.3705821075861872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5.9075243365991098E-2</v>
      </c>
      <c r="C10" s="95">
        <v>0.95</v>
      </c>
      <c r="D10" s="96">
        <v>13.539057252878379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5.9075243365991098E-2</v>
      </c>
      <c r="C11" s="95">
        <v>0.95</v>
      </c>
      <c r="D11" s="96">
        <v>13.539057252878379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5.9075243365991098E-2</v>
      </c>
      <c r="C12" s="95">
        <v>0.95</v>
      </c>
      <c r="D12" s="96">
        <v>13.539057252878379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5.9075243365991098E-2</v>
      </c>
      <c r="C13" s="95">
        <v>0.95</v>
      </c>
      <c r="D13" s="96">
        <v>13.539057252878379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5.9075243365991098E-2</v>
      </c>
      <c r="C14" s="95">
        <v>0.95</v>
      </c>
      <c r="D14" s="96">
        <v>13.539057252878379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5.9075243365991098E-2</v>
      </c>
      <c r="C15" s="95">
        <v>0.95</v>
      </c>
      <c r="D15" s="96">
        <v>13.539057252878379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0.27829999072845568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0.13</v>
      </c>
      <c r="C18" s="95">
        <v>0.95</v>
      </c>
      <c r="D18" s="96">
        <v>2.377996240315416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2.377996240315416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0.30129679999999998</v>
      </c>
      <c r="C21" s="95">
        <v>0.95</v>
      </c>
      <c r="D21" s="96">
        <v>3.202185552868094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23.103382705538191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4.4606327668435339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7.6161503807199993E-2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4.6074999817732012E-2</v>
      </c>
      <c r="C27" s="95">
        <v>0.95</v>
      </c>
      <c r="D27" s="96">
        <v>19.540666812356982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0.59053003115999092</v>
      </c>
      <c r="C29" s="95">
        <v>0.95</v>
      </c>
      <c r="D29" s="96">
        <v>67.736851795235324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4.3271061521497272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4.2999999999999997E-2</v>
      </c>
      <c r="C32" s="95">
        <v>0.95</v>
      </c>
      <c r="D32" s="96">
        <v>0.54641342226979839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0.18614801410000001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8.7522201431810966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0.48301955497836302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2.9</v>
      </c>
      <c r="C2" s="121">
        <f>'Entradas de población-año base'!C52</f>
        <v>2.9</v>
      </c>
      <c r="D2" s="121">
        <f>'Entradas de población-año base'!C53</f>
        <v>2.9</v>
      </c>
      <c r="E2" s="121">
        <f>'Entradas de población-año base'!C54</f>
        <v>2.9</v>
      </c>
      <c r="F2" s="121">
        <f>'Entradas de población-año base'!C55</f>
        <v>2.9</v>
      </c>
    </row>
    <row r="3" spans="1:6" ht="15.75" customHeight="1" x14ac:dyDescent="0.25">
      <c r="A3" s="4" t="s">
        <v>204</v>
      </c>
      <c r="B3" s="121">
        <f>frac_mam_1month * 2.6</f>
        <v>0.28287672996521118</v>
      </c>
      <c r="C3" s="121">
        <f>frac_mam_1_5months * 2.6</f>
        <v>0.28287672996521118</v>
      </c>
      <c r="D3" s="121">
        <f>frac_mam_6_11months * 2.6</f>
        <v>0.389580428600311</v>
      </c>
      <c r="E3" s="121">
        <f>frac_mam_12_23months * 2.6</f>
        <v>0.35258413851261117</v>
      </c>
      <c r="F3" s="121">
        <f>frac_mam_24_59months * 2.6</f>
        <v>0.24604986310005192</v>
      </c>
    </row>
    <row r="4" spans="1:6" ht="15.75" customHeight="1" x14ac:dyDescent="0.25">
      <c r="A4" s="4" t="s">
        <v>205</v>
      </c>
      <c r="B4" s="121">
        <f>frac_sam_1month * 2.6</f>
        <v>0.23901847004890453</v>
      </c>
      <c r="C4" s="121">
        <f>frac_sam_1_5months * 2.6</f>
        <v>0.23901847004890453</v>
      </c>
      <c r="D4" s="121">
        <f>frac_sam_6_11months * 2.6</f>
        <v>0.26479003578424543</v>
      </c>
      <c r="E4" s="121">
        <f>frac_sam_12_23months * 2.6</f>
        <v>0.16372712701559056</v>
      </c>
      <c r="F4" s="121">
        <f>frac_sam_24_59months * 2.6</f>
        <v>9.3341473489999813E-2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0.188</v>
      </c>
      <c r="E2" s="50">
        <f>food_insecure</f>
        <v>0.188</v>
      </c>
      <c r="F2" s="50">
        <f>food_insecure</f>
        <v>0.188</v>
      </c>
      <c r="G2" s="50">
        <f>food_insecure</f>
        <v>0.188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0.188</v>
      </c>
      <c r="F5" s="50">
        <f>food_insecure</f>
        <v>0.188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5.9999999999999984E-2</v>
      </c>
      <c r="D7" s="50">
        <f>diarrhoea_1_5mo*frac_diarrhea_severe</f>
        <v>5.9999999999999984E-2</v>
      </c>
      <c r="E7" s="50">
        <f>diarrhoea_6_11mo*frac_diarrhea_severe</f>
        <v>5.9999999999999984E-2</v>
      </c>
      <c r="F7" s="50">
        <f>diarrhoea_12_23mo*frac_diarrhea_severe</f>
        <v>5.9999999999999984E-2</v>
      </c>
      <c r="G7" s="50">
        <f>diarrhoea_24_59mo*frac_diarrhea_severe</f>
        <v>5.9999999999999984E-2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0.188</v>
      </c>
      <c r="F8" s="50">
        <f>food_insecure</f>
        <v>0.188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0.188</v>
      </c>
      <c r="F9" s="50">
        <f>food_insecure</f>
        <v>0.188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0.34</v>
      </c>
      <c r="E10" s="50">
        <f>IF(ISBLANK(comm_deliv), frac_children_health_facility,1)</f>
        <v>0.34</v>
      </c>
      <c r="F10" s="50">
        <f>IF(ISBLANK(comm_deliv), frac_children_health_facility,1)</f>
        <v>0.34</v>
      </c>
      <c r="G10" s="50">
        <f>IF(ISBLANK(comm_deliv), frac_children_health_facility,1)</f>
        <v>0.34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5.9999999999999984E-2</v>
      </c>
      <c r="D12" s="50">
        <f>diarrhoea_1_5mo*frac_diarrhea_severe</f>
        <v>5.9999999999999984E-2</v>
      </c>
      <c r="E12" s="50">
        <f>diarrhoea_6_11mo*frac_diarrhea_severe</f>
        <v>5.9999999999999984E-2</v>
      </c>
      <c r="F12" s="50">
        <f>diarrhoea_12_23mo*frac_diarrhea_severe</f>
        <v>5.9999999999999984E-2</v>
      </c>
      <c r="G12" s="50">
        <f>diarrhoea_24_59mo*frac_diarrhea_severe</f>
        <v>5.9999999999999984E-2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0.188</v>
      </c>
      <c r="I15" s="50">
        <f>food_insecure</f>
        <v>0.188</v>
      </c>
      <c r="J15" s="50">
        <f>food_insecure</f>
        <v>0.188</v>
      </c>
      <c r="K15" s="50">
        <f>food_insecure</f>
        <v>0.188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0.251</v>
      </c>
      <c r="I18" s="50">
        <f>frac_PW_health_facility</f>
        <v>0.251</v>
      </c>
      <c r="J18" s="50">
        <f>frac_PW_health_facility</f>
        <v>0.251</v>
      </c>
      <c r="K18" s="50">
        <f>frac_PW_health_facility</f>
        <v>0.251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0.47</v>
      </c>
      <c r="I19" s="50">
        <f>frac_malaria_risk</f>
        <v>0.47</v>
      </c>
      <c r="J19" s="50">
        <f>frac_malaria_risk</f>
        <v>0.47</v>
      </c>
      <c r="K19" s="50">
        <f>frac_malaria_risk</f>
        <v>0.47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0.53100000000000003</v>
      </c>
      <c r="M24" s="50">
        <f>famplan_unmet_need</f>
        <v>0.53100000000000003</v>
      </c>
      <c r="N24" s="50">
        <f>famplan_unmet_need</f>
        <v>0.53100000000000003</v>
      </c>
      <c r="O24" s="50">
        <f>famplan_unmet_need</f>
        <v>0.53100000000000003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0.31881351664428714</v>
      </c>
      <c r="M25" s="50">
        <f>(1-food_insecure)*(0.49)+food_insecure*(0.7)</f>
        <v>0.52947999999999995</v>
      </c>
      <c r="N25" s="50">
        <f>(1-food_insecure)*(0.49)+food_insecure*(0.7)</f>
        <v>0.52947999999999995</v>
      </c>
      <c r="O25" s="50">
        <f>(1-food_insecure)*(0.49)+food_insecure*(0.7)</f>
        <v>0.52947999999999995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0.13663436427612308</v>
      </c>
      <c r="M26" s="50">
        <f>(1-food_insecure)*(0.21)+food_insecure*(0.3)</f>
        <v>0.22692000000000001</v>
      </c>
      <c r="N26" s="50">
        <f>(1-food_insecure)*(0.21)+food_insecure*(0.3)</f>
        <v>0.22692000000000001</v>
      </c>
      <c r="O26" s="50">
        <f>(1-food_insecure)*(0.21)+food_insecure*(0.3)</f>
        <v>0.22692000000000001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0.14667782098388674</v>
      </c>
      <c r="M27" s="50">
        <f>(1-food_insecure)*(0.3)</f>
        <v>0.24360000000000001</v>
      </c>
      <c r="N27" s="50">
        <f>(1-food_insecure)*(0.3)</f>
        <v>0.24360000000000001</v>
      </c>
      <c r="O27" s="50">
        <f>(1-food_insecure)*(0.3)</f>
        <v>0.24360000000000001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0.39787429809570307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0.47</v>
      </c>
      <c r="D34" s="50">
        <f t="shared" si="3"/>
        <v>0.47</v>
      </c>
      <c r="E34" s="50">
        <f t="shared" si="3"/>
        <v>0.47</v>
      </c>
      <c r="F34" s="50">
        <f t="shared" si="3"/>
        <v>0.47</v>
      </c>
      <c r="G34" s="50">
        <f t="shared" si="3"/>
        <v>0.47</v>
      </c>
      <c r="H34" s="50">
        <f t="shared" si="3"/>
        <v>0.47</v>
      </c>
      <c r="I34" s="50">
        <f t="shared" si="3"/>
        <v>0.47</v>
      </c>
      <c r="J34" s="50">
        <f t="shared" si="3"/>
        <v>0.47</v>
      </c>
      <c r="K34" s="50">
        <f t="shared" si="3"/>
        <v>0.47</v>
      </c>
      <c r="L34" s="50">
        <f t="shared" si="3"/>
        <v>0.47</v>
      </c>
      <c r="M34" s="50">
        <f t="shared" si="3"/>
        <v>0.47</v>
      </c>
      <c r="N34" s="50">
        <f t="shared" si="3"/>
        <v>0.47</v>
      </c>
      <c r="O34" s="50">
        <f t="shared" si="3"/>
        <v>0.47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885346.67979999993</v>
      </c>
      <c r="C2" s="110">
        <v>1616000</v>
      </c>
      <c r="D2" s="110">
        <v>2887000</v>
      </c>
      <c r="E2" s="110">
        <v>2187000</v>
      </c>
      <c r="F2" s="110">
        <v>1246000</v>
      </c>
      <c r="G2" s="111">
        <f t="shared" ref="G2:G16" si="0">C2+D2+E2+F2</f>
        <v>7936000</v>
      </c>
      <c r="H2" s="111">
        <f t="shared" ref="H2:H40" si="1">(B2 + stillbirth*B2/(1000-stillbirth))/(1-abortion)</f>
        <v>1030529.9649457046</v>
      </c>
      <c r="I2" s="111">
        <f t="shared" ref="I2:I40" si="2">G2-H2</f>
        <v>6905470.0350542953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886641.44960000005</v>
      </c>
      <c r="C3" s="110">
        <v>1645000</v>
      </c>
      <c r="D3" s="110">
        <v>2912000</v>
      </c>
      <c r="E3" s="110">
        <v>2280000</v>
      </c>
      <c r="F3" s="110">
        <v>1326000</v>
      </c>
      <c r="G3" s="111">
        <f t="shared" si="0"/>
        <v>8163000</v>
      </c>
      <c r="H3" s="111">
        <f t="shared" si="1"/>
        <v>1032037.0571470422</v>
      </c>
      <c r="I3" s="111">
        <f t="shared" si="2"/>
        <v>7130962.9428529581</v>
      </c>
    </row>
    <row r="4" spans="1:9" ht="15.75" customHeight="1" x14ac:dyDescent="0.25">
      <c r="A4" s="7">
        <f t="shared" si="3"/>
        <v>2023</v>
      </c>
      <c r="B4" s="42">
        <v>887133.4585999999</v>
      </c>
      <c r="C4" s="110">
        <v>1676000</v>
      </c>
      <c r="D4" s="110">
        <v>2936000</v>
      </c>
      <c r="E4" s="110">
        <v>2370000</v>
      </c>
      <c r="F4" s="110">
        <v>1409000</v>
      </c>
      <c r="G4" s="111">
        <f t="shared" si="0"/>
        <v>8391000</v>
      </c>
      <c r="H4" s="111">
        <f t="shared" si="1"/>
        <v>1032609.7480816685</v>
      </c>
      <c r="I4" s="111">
        <f t="shared" si="2"/>
        <v>7358390.2519183317</v>
      </c>
    </row>
    <row r="5" spans="1:9" ht="15.75" customHeight="1" x14ac:dyDescent="0.25">
      <c r="A5" s="7">
        <f t="shared" si="3"/>
        <v>2024</v>
      </c>
      <c r="B5" s="42">
        <v>886853.03519999993</v>
      </c>
      <c r="C5" s="110">
        <v>1709000</v>
      </c>
      <c r="D5" s="110">
        <v>2962000</v>
      </c>
      <c r="E5" s="110">
        <v>2453000</v>
      </c>
      <c r="F5" s="110">
        <v>1496000</v>
      </c>
      <c r="G5" s="111">
        <f t="shared" si="0"/>
        <v>8620000</v>
      </c>
      <c r="H5" s="111">
        <f t="shared" si="1"/>
        <v>1032283.3395423184</v>
      </c>
      <c r="I5" s="111">
        <f t="shared" si="2"/>
        <v>7587716.6604576819</v>
      </c>
    </row>
    <row r="6" spans="1:9" ht="15.75" customHeight="1" x14ac:dyDescent="0.25">
      <c r="A6" s="7">
        <f t="shared" si="3"/>
        <v>2025</v>
      </c>
      <c r="B6" s="42">
        <v>885775.473</v>
      </c>
      <c r="C6" s="110">
        <v>1744000</v>
      </c>
      <c r="D6" s="110">
        <v>2997000</v>
      </c>
      <c r="E6" s="110">
        <v>2526000</v>
      </c>
      <c r="F6" s="110">
        <v>1583000</v>
      </c>
      <c r="G6" s="111">
        <f t="shared" si="0"/>
        <v>8850000</v>
      </c>
      <c r="H6" s="111">
        <f t="shared" si="1"/>
        <v>1031029.0736580847</v>
      </c>
      <c r="I6" s="111">
        <f t="shared" si="2"/>
        <v>7818970.9263419155</v>
      </c>
    </row>
    <row r="7" spans="1:9" ht="15.75" customHeight="1" x14ac:dyDescent="0.25">
      <c r="A7" s="7">
        <f t="shared" si="3"/>
        <v>2026</v>
      </c>
      <c r="B7" s="42">
        <v>886691.03399999999</v>
      </c>
      <c r="C7" s="110">
        <v>1779000</v>
      </c>
      <c r="D7" s="110">
        <v>3039000</v>
      </c>
      <c r="E7" s="110">
        <v>2589000</v>
      </c>
      <c r="F7" s="110">
        <v>1668000</v>
      </c>
      <c r="G7" s="111">
        <f t="shared" si="0"/>
        <v>9075000</v>
      </c>
      <c r="H7" s="111">
        <f t="shared" si="1"/>
        <v>1032094.7726286267</v>
      </c>
      <c r="I7" s="111">
        <f t="shared" si="2"/>
        <v>8042905.2273713732</v>
      </c>
    </row>
    <row r="8" spans="1:9" ht="15.75" customHeight="1" x14ac:dyDescent="0.25">
      <c r="A8" s="7">
        <f t="shared" si="3"/>
        <v>2027</v>
      </c>
      <c r="B8" s="42">
        <v>886925.00899999996</v>
      </c>
      <c r="C8" s="110">
        <v>1815000</v>
      </c>
      <c r="D8" s="110">
        <v>3088000</v>
      </c>
      <c r="E8" s="110">
        <v>2644000</v>
      </c>
      <c r="F8" s="110">
        <v>1754000</v>
      </c>
      <c r="G8" s="111">
        <f t="shared" si="0"/>
        <v>9301000</v>
      </c>
      <c r="H8" s="111">
        <f t="shared" si="1"/>
        <v>1032367.1159423246</v>
      </c>
      <c r="I8" s="111">
        <f t="shared" si="2"/>
        <v>8268632.8840576755</v>
      </c>
    </row>
    <row r="9" spans="1:9" ht="15.75" customHeight="1" x14ac:dyDescent="0.25">
      <c r="A9" s="7">
        <f t="shared" si="3"/>
        <v>2028</v>
      </c>
      <c r="B9" s="42">
        <v>886430.37199999997</v>
      </c>
      <c r="C9" s="110">
        <v>1850000</v>
      </c>
      <c r="D9" s="110">
        <v>3143000</v>
      </c>
      <c r="E9" s="110">
        <v>2691000</v>
      </c>
      <c r="F9" s="110">
        <v>1838000</v>
      </c>
      <c r="G9" s="111">
        <f t="shared" si="0"/>
        <v>9522000</v>
      </c>
      <c r="H9" s="111">
        <f t="shared" si="1"/>
        <v>1031791.3660559795</v>
      </c>
      <c r="I9" s="111">
        <f t="shared" si="2"/>
        <v>8490208.6339440197</v>
      </c>
    </row>
    <row r="10" spans="1:9" ht="15.75" customHeight="1" x14ac:dyDescent="0.25">
      <c r="A10" s="7">
        <f t="shared" si="3"/>
        <v>2029</v>
      </c>
      <c r="B10" s="42">
        <v>885237.35600000003</v>
      </c>
      <c r="C10" s="110">
        <v>1883000</v>
      </c>
      <c r="D10" s="110">
        <v>3203000</v>
      </c>
      <c r="E10" s="110">
        <v>2731000</v>
      </c>
      <c r="F10" s="110">
        <v>1926000</v>
      </c>
      <c r="G10" s="111">
        <f t="shared" si="0"/>
        <v>9743000</v>
      </c>
      <c r="H10" s="111">
        <f t="shared" si="1"/>
        <v>1030402.7137181887</v>
      </c>
      <c r="I10" s="111">
        <f t="shared" si="2"/>
        <v>8712597.2862818111</v>
      </c>
    </row>
    <row r="11" spans="1:9" ht="15.75" customHeight="1" x14ac:dyDescent="0.25">
      <c r="A11" s="7">
        <f t="shared" si="3"/>
        <v>2030</v>
      </c>
      <c r="B11" s="42">
        <v>883302.29500000004</v>
      </c>
      <c r="C11" s="110">
        <v>1911000</v>
      </c>
      <c r="D11" s="110">
        <v>3264000</v>
      </c>
      <c r="E11" s="110">
        <v>2767000</v>
      </c>
      <c r="F11" s="110">
        <v>2014000</v>
      </c>
      <c r="G11" s="111">
        <f t="shared" si="0"/>
        <v>9956000</v>
      </c>
      <c r="H11" s="111">
        <f t="shared" si="1"/>
        <v>1028150.332374252</v>
      </c>
      <c r="I11" s="111">
        <f t="shared" si="2"/>
        <v>8927849.6676257476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1.0467640526522441E-2</v>
      </c>
    </row>
    <row r="4" spans="1:8" ht="15.75" customHeight="1" x14ac:dyDescent="0.25">
      <c r="B4" s="13" t="s">
        <v>69</v>
      </c>
      <c r="C4" s="43">
        <v>0.1447940958960211</v>
      </c>
    </row>
    <row r="5" spans="1:8" ht="15.75" customHeight="1" x14ac:dyDescent="0.25">
      <c r="B5" s="13" t="s">
        <v>70</v>
      </c>
      <c r="C5" s="43">
        <v>7.1393503800682726E-2</v>
      </c>
    </row>
    <row r="6" spans="1:8" ht="15.75" customHeight="1" x14ac:dyDescent="0.25">
      <c r="B6" s="13" t="s">
        <v>71</v>
      </c>
      <c r="C6" s="43">
        <v>0.2473048367887892</v>
      </c>
    </row>
    <row r="7" spans="1:8" ht="15.75" customHeight="1" x14ac:dyDescent="0.25">
      <c r="B7" s="13" t="s">
        <v>72</v>
      </c>
      <c r="C7" s="43">
        <v>0.34136309247609009</v>
      </c>
    </row>
    <row r="8" spans="1:8" ht="15.75" customHeight="1" x14ac:dyDescent="0.25">
      <c r="B8" s="13" t="s">
        <v>73</v>
      </c>
      <c r="C8" s="43">
        <v>1.6030576094786569E-2</v>
      </c>
    </row>
    <row r="9" spans="1:8" ht="15.75" customHeight="1" x14ac:dyDescent="0.25">
      <c r="B9" s="13" t="s">
        <v>74</v>
      </c>
      <c r="C9" s="43">
        <v>9.5747714538464132E-2</v>
      </c>
    </row>
    <row r="10" spans="1:8" ht="15.75" customHeight="1" x14ac:dyDescent="0.25">
      <c r="B10" s="13" t="s">
        <v>75</v>
      </c>
      <c r="C10" s="43">
        <v>7.2898539878643864E-2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0.1525534106144821</v>
      </c>
      <c r="D14" s="43">
        <v>0.1525534106144821</v>
      </c>
      <c r="E14" s="43">
        <v>0.1525534106144821</v>
      </c>
      <c r="F14" s="43">
        <v>0.1525534106144821</v>
      </c>
    </row>
    <row r="15" spans="1:8" ht="15.75" customHeight="1" x14ac:dyDescent="0.25">
      <c r="B15" s="13" t="s">
        <v>82</v>
      </c>
      <c r="C15" s="43">
        <v>0.28364087261019039</v>
      </c>
      <c r="D15" s="43">
        <v>0.28364087261019039</v>
      </c>
      <c r="E15" s="43">
        <v>0.28364087261019039</v>
      </c>
      <c r="F15" s="43">
        <v>0.28364087261019039</v>
      </c>
    </row>
    <row r="16" spans="1:8" ht="15.75" customHeight="1" x14ac:dyDescent="0.25">
      <c r="B16" s="13" t="s">
        <v>83</v>
      </c>
      <c r="C16" s="43">
        <v>3.2342629919059E-2</v>
      </c>
      <c r="D16" s="43">
        <v>3.2342629919059E-2</v>
      </c>
      <c r="E16" s="43">
        <v>3.2342629919059E-2</v>
      </c>
      <c r="F16" s="43">
        <v>3.2342629919059E-2</v>
      </c>
    </row>
    <row r="17" spans="1:8" ht="15.75" customHeight="1" x14ac:dyDescent="0.25">
      <c r="B17" s="13" t="s">
        <v>84</v>
      </c>
      <c r="C17" s="43">
        <v>2.903019108606685E-3</v>
      </c>
      <c r="D17" s="43">
        <v>2.903019108606685E-3</v>
      </c>
      <c r="E17" s="43">
        <v>2.903019108606685E-3</v>
      </c>
      <c r="F17" s="43">
        <v>2.903019108606685E-3</v>
      </c>
    </row>
    <row r="18" spans="1:8" ht="15.75" customHeight="1" x14ac:dyDescent="0.25">
      <c r="B18" s="13" t="s">
        <v>85</v>
      </c>
      <c r="C18" s="43">
        <v>1.2333341816234781E-4</v>
      </c>
      <c r="D18" s="43">
        <v>1.2333341816234781E-4</v>
      </c>
      <c r="E18" s="43">
        <v>1.2333341816234781E-4</v>
      </c>
      <c r="F18" s="43">
        <v>1.2333341816234781E-4</v>
      </c>
    </row>
    <row r="19" spans="1:8" ht="15.75" customHeight="1" x14ac:dyDescent="0.25">
      <c r="B19" s="13" t="s">
        <v>86</v>
      </c>
      <c r="C19" s="43">
        <v>5.0555882446855743E-2</v>
      </c>
      <c r="D19" s="43">
        <v>5.0555882446855743E-2</v>
      </c>
      <c r="E19" s="43">
        <v>5.0555882446855743E-2</v>
      </c>
      <c r="F19" s="43">
        <v>5.0555882446855743E-2</v>
      </c>
    </row>
    <row r="20" spans="1:8" ht="15.75" customHeight="1" x14ac:dyDescent="0.25">
      <c r="B20" s="13" t="s">
        <v>87</v>
      </c>
      <c r="C20" s="43">
        <v>2.0282188935596621E-3</v>
      </c>
      <c r="D20" s="43">
        <v>2.0282188935596621E-3</v>
      </c>
      <c r="E20" s="43">
        <v>2.0282188935596621E-3</v>
      </c>
      <c r="F20" s="43">
        <v>2.0282188935596621E-3</v>
      </c>
    </row>
    <row r="21" spans="1:8" ht="15.75" customHeight="1" x14ac:dyDescent="0.25">
      <c r="B21" s="13" t="s">
        <v>88</v>
      </c>
      <c r="C21" s="43">
        <v>0.14736046843876471</v>
      </c>
      <c r="D21" s="43">
        <v>0.14736046843876471</v>
      </c>
      <c r="E21" s="43">
        <v>0.14736046843876471</v>
      </c>
      <c r="F21" s="43">
        <v>0.14736046843876471</v>
      </c>
    </row>
    <row r="22" spans="1:8" ht="15.75" customHeight="1" x14ac:dyDescent="0.25">
      <c r="B22" s="13" t="s">
        <v>89</v>
      </c>
      <c r="C22" s="43">
        <v>0.32849216455031921</v>
      </c>
      <c r="D22" s="43">
        <v>0.32849216455031921</v>
      </c>
      <c r="E22" s="43">
        <v>0.32849216455031921</v>
      </c>
      <c r="F22" s="43">
        <v>0.32849216455031921</v>
      </c>
    </row>
    <row r="23" spans="1:8" ht="15.75" customHeight="1" x14ac:dyDescent="0.25">
      <c r="B23" s="18" t="s">
        <v>30</v>
      </c>
      <c r="C23" s="40">
        <f>SUM(C14:C22)</f>
        <v>0.99999999999999978</v>
      </c>
      <c r="D23" s="40">
        <f>SUM(D14:D22)</f>
        <v>0.99999999999999978</v>
      </c>
      <c r="E23" s="40">
        <f>SUM(E14:E22)</f>
        <v>0.99999999999999978</v>
      </c>
      <c r="F23" s="40">
        <f>SUM(F14:F22)</f>
        <v>0.99999999999999978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4.5856951999999999E-2</v>
      </c>
    </row>
    <row r="27" spans="1:8" ht="15.75" customHeight="1" x14ac:dyDescent="0.25">
      <c r="B27" s="13" t="s">
        <v>92</v>
      </c>
      <c r="C27" s="43">
        <v>2.7671261999999999E-2</v>
      </c>
    </row>
    <row r="28" spans="1:8" ht="15.75" customHeight="1" x14ac:dyDescent="0.25">
      <c r="B28" s="13" t="s">
        <v>93</v>
      </c>
      <c r="C28" s="43">
        <v>0.19152286900000001</v>
      </c>
    </row>
    <row r="29" spans="1:8" ht="15.75" customHeight="1" x14ac:dyDescent="0.25">
      <c r="B29" s="13" t="s">
        <v>94</v>
      </c>
      <c r="C29" s="43">
        <v>0.15015504499999999</v>
      </c>
    </row>
    <row r="30" spans="1:8" ht="15.75" customHeight="1" x14ac:dyDescent="0.25">
      <c r="B30" s="13" t="s">
        <v>95</v>
      </c>
      <c r="C30" s="43">
        <v>5.0148384999999997E-2</v>
      </c>
    </row>
    <row r="31" spans="1:8" ht="15.75" customHeight="1" x14ac:dyDescent="0.25">
      <c r="B31" s="13" t="s">
        <v>96</v>
      </c>
      <c r="C31" s="43">
        <v>3.0652005E-2</v>
      </c>
    </row>
    <row r="32" spans="1:8" ht="15.75" customHeight="1" x14ac:dyDescent="0.25">
      <c r="B32" s="13" t="s">
        <v>97</v>
      </c>
      <c r="C32" s="43">
        <v>8.6489898999999995E-2</v>
      </c>
    </row>
    <row r="33" spans="2:3" ht="15.75" customHeight="1" x14ac:dyDescent="0.25">
      <c r="B33" s="13" t="s">
        <v>98</v>
      </c>
      <c r="C33" s="43">
        <v>0.168218437</v>
      </c>
    </row>
    <row r="34" spans="2:3" ht="15.75" customHeight="1" x14ac:dyDescent="0.25">
      <c r="B34" s="13" t="s">
        <v>99</v>
      </c>
      <c r="C34" s="43">
        <v>0.24928514500000001</v>
      </c>
    </row>
    <row r="35" spans="2:3" ht="15.75" customHeight="1" x14ac:dyDescent="0.25">
      <c r="B35" s="18" t="s">
        <v>30</v>
      </c>
      <c r="C35" s="40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0.42782973644226774</v>
      </c>
      <c r="D2" s="112">
        <f>IFERROR(1-_xlfn.NORM.DIST(_xlfn.NORM.INV(SUM(D4:D5), 0, 1) + 1, 0, 1, TRUE), "")</f>
        <v>0.42782973644226774</v>
      </c>
      <c r="E2" s="112">
        <f>IFERROR(1-_xlfn.NORM.DIST(_xlfn.NORM.INV(SUM(E4:E5), 0, 1) + 1, 0, 1, TRUE), "")</f>
        <v>0.34990424191101321</v>
      </c>
      <c r="F2" s="112">
        <f>IFERROR(1-_xlfn.NORM.DIST(_xlfn.NORM.INV(SUM(F4:F5), 0, 1) + 1, 0, 1, TRUE), "")</f>
        <v>0.20938721371232405</v>
      </c>
      <c r="G2" s="112">
        <f>IFERROR(1-_xlfn.NORM.DIST(_xlfn.NORM.INV(SUM(G4:G5), 0, 1) + 1, 0, 1, TRUE), "")</f>
        <v>0.12626395067250185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0.36551958921462324</v>
      </c>
      <c r="D3" s="112">
        <f>IFERROR(_xlfn.NORM.DIST(_xlfn.NORM.INV(SUM(D4:D5), 0, 1) + 1, 0, 1, TRUE) - SUM(D4:D5), "")</f>
        <v>0.36551958921462324</v>
      </c>
      <c r="E3" s="112">
        <f>IFERROR(_xlfn.NORM.DIST(_xlfn.NORM.INV(SUM(E4:E5), 0, 1) + 1, 0, 1, TRUE) - SUM(E4:E5), "")</f>
        <v>0.38062717492238679</v>
      </c>
      <c r="F3" s="112">
        <f>IFERROR(_xlfn.NORM.DIST(_xlfn.NORM.INV(SUM(F4:F5), 0, 1) + 1, 0, 1, TRUE) - SUM(F4:F5), "")</f>
        <v>0.36652652847231493</v>
      </c>
      <c r="G3" s="112">
        <f>IFERROR(_xlfn.NORM.DIST(_xlfn.NORM.INV(SUM(G4:G5), 0, 1) + 1, 0, 1, TRUE) - SUM(G4:G5), "")</f>
        <v>0.31639512935603209</v>
      </c>
    </row>
    <row r="4" spans="1:15" ht="15.75" customHeight="1" x14ac:dyDescent="0.25">
      <c r="B4" s="7" t="s">
        <v>104</v>
      </c>
      <c r="C4" s="113">
        <v>0.113363817334175</v>
      </c>
      <c r="D4" s="113">
        <v>0.113363817334175</v>
      </c>
      <c r="E4" s="113">
        <v>0.15989740192890201</v>
      </c>
      <c r="F4" s="113">
        <v>0.214758396148682</v>
      </c>
      <c r="G4" s="113">
        <v>0.27542984485626198</v>
      </c>
    </row>
    <row r="5" spans="1:15" ht="15.75" customHeight="1" x14ac:dyDescent="0.25">
      <c r="B5" s="7" t="s">
        <v>105</v>
      </c>
      <c r="C5" s="113">
        <v>9.3286857008934007E-2</v>
      </c>
      <c r="D5" s="113">
        <v>9.3286857008934007E-2</v>
      </c>
      <c r="E5" s="113">
        <v>0.109571181237698</v>
      </c>
      <c r="F5" s="113">
        <v>0.20932786166667899</v>
      </c>
      <c r="G5" s="113">
        <v>0.28191107511520402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0.43605474511943898</v>
      </c>
      <c r="D8" s="112">
        <f>IFERROR(1-_xlfn.NORM.DIST(_xlfn.NORM.INV(SUM(D10:D11), 0, 1) + 1, 0, 1, TRUE), "")</f>
        <v>0.43605474511943898</v>
      </c>
      <c r="E8" s="112">
        <f>IFERROR(1-_xlfn.NORM.DIST(_xlfn.NORM.INV(SUM(E10:E11), 0, 1) + 1, 0, 1, TRUE), "")</f>
        <v>0.37040133979334855</v>
      </c>
      <c r="F8" s="112">
        <f>IFERROR(1-_xlfn.NORM.DIST(_xlfn.NORM.INV(SUM(F10:F11), 0, 1) + 1, 0, 1, TRUE), "")</f>
        <v>0.43908074198567082</v>
      </c>
      <c r="G8" s="112">
        <f>IFERROR(1-_xlfn.NORM.DIST(_xlfn.NORM.INV(SUM(G10:G11), 0, 1) + 1, 0, 1, TRUE), "")</f>
        <v>0.54928895687384993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0.36321633179820884</v>
      </c>
      <c r="D9" s="112">
        <f>IFERROR(_xlfn.NORM.DIST(_xlfn.NORM.INV(SUM(D10:D11), 0, 1) + 1, 0, 1, TRUE) - SUM(D10:D11), "")</f>
        <v>0.36321633179820884</v>
      </c>
      <c r="E9" s="112">
        <f>IFERROR(_xlfn.NORM.DIST(_xlfn.NORM.INV(SUM(E10:E11), 0, 1) + 1, 0, 1, TRUE) - SUM(E10:E11), "")</f>
        <v>0.37791771236643745</v>
      </c>
      <c r="F9" s="112">
        <f>IFERROR(_xlfn.NORM.DIST(_xlfn.NORM.INV(SUM(F10:F11), 0, 1) + 1, 0, 1, TRUE) - SUM(F10:F11), "")</f>
        <v>0.36233800204194389</v>
      </c>
      <c r="G9" s="112">
        <f>IFERROR(_xlfn.NORM.DIST(_xlfn.NORM.INV(SUM(G10:G11), 0, 1) + 1, 0, 1, TRUE) - SUM(G10:G11), "")</f>
        <v>0.32017591366843789</v>
      </c>
    </row>
    <row r="10" spans="1:15" ht="15.75" customHeight="1" x14ac:dyDescent="0.25">
      <c r="B10" s="7" t="s">
        <v>109</v>
      </c>
      <c r="C10" s="113">
        <v>0.108798742294312</v>
      </c>
      <c r="D10" s="113">
        <v>0.108798742294312</v>
      </c>
      <c r="E10" s="113">
        <v>0.149838626384735</v>
      </c>
      <c r="F10" s="113">
        <v>0.13560928404331199</v>
      </c>
      <c r="G10" s="113">
        <v>9.4634562730789198E-2</v>
      </c>
    </row>
    <row r="11" spans="1:15" ht="15.75" customHeight="1" x14ac:dyDescent="0.25">
      <c r="B11" s="7" t="s">
        <v>110</v>
      </c>
      <c r="C11" s="113">
        <v>9.1930180788040203E-2</v>
      </c>
      <c r="D11" s="113">
        <v>9.1930180788040203E-2</v>
      </c>
      <c r="E11" s="113">
        <v>0.101842321455479</v>
      </c>
      <c r="F11" s="113">
        <v>6.2971971929073292E-2</v>
      </c>
      <c r="G11" s="113">
        <v>3.5900566726923003E-2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0.97213777649999999</v>
      </c>
      <c r="D14" s="115">
        <v>0.97637391212799995</v>
      </c>
      <c r="E14" s="115">
        <v>0.97637391212799995</v>
      </c>
      <c r="F14" s="115">
        <v>0.93586611214799997</v>
      </c>
      <c r="G14" s="115">
        <v>0.93586611214799997</v>
      </c>
      <c r="H14" s="116">
        <v>0.63</v>
      </c>
      <c r="I14" s="116">
        <v>0.63</v>
      </c>
      <c r="J14" s="116">
        <v>0.63</v>
      </c>
      <c r="K14" s="116">
        <v>0.63</v>
      </c>
      <c r="L14" s="116">
        <v>0.70199999999999985</v>
      </c>
      <c r="M14" s="116">
        <v>0.70199999999999985</v>
      </c>
      <c r="N14" s="116">
        <v>0.70199999999999985</v>
      </c>
      <c r="O14" s="116">
        <v>0.70199999999999985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0.51605156155281307</v>
      </c>
      <c r="D15" s="112">
        <f t="shared" si="0"/>
        <v>0.51830028026185182</v>
      </c>
      <c r="E15" s="112">
        <f t="shared" si="0"/>
        <v>0.51830028026185182</v>
      </c>
      <c r="F15" s="112">
        <f t="shared" si="0"/>
        <v>0.49679703870486863</v>
      </c>
      <c r="G15" s="112">
        <f t="shared" si="0"/>
        <v>0.49679703870486863</v>
      </c>
      <c r="H15" s="112">
        <f t="shared" si="0"/>
        <v>0.33443046000000004</v>
      </c>
      <c r="I15" s="112">
        <f t="shared" si="0"/>
        <v>0.33443046000000004</v>
      </c>
      <c r="J15" s="112">
        <f t="shared" si="0"/>
        <v>0.33443046000000004</v>
      </c>
      <c r="K15" s="112">
        <f t="shared" si="0"/>
        <v>0.33443046000000004</v>
      </c>
      <c r="L15" s="112">
        <f t="shared" si="0"/>
        <v>0.37265108399999997</v>
      </c>
      <c r="M15" s="112">
        <f t="shared" si="0"/>
        <v>0.37265108399999997</v>
      </c>
      <c r="N15" s="112">
        <f t="shared" si="0"/>
        <v>0.37265108399999997</v>
      </c>
      <c r="O15" s="112">
        <f t="shared" si="0"/>
        <v>0.37265108399999997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0.20986087620258301</v>
      </c>
      <c r="D2" s="113">
        <v>8.6708339999999995E-2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0.419663816690445</v>
      </c>
      <c r="D3" s="113">
        <v>0.27589580000000002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0.30791074037551902</v>
      </c>
      <c r="D4" s="113">
        <v>0.56925510000000001</v>
      </c>
      <c r="E4" s="113">
        <v>0.84019792079925493</v>
      </c>
      <c r="F4" s="113">
        <v>0.62838995456695601</v>
      </c>
      <c r="G4" s="113">
        <v>0</v>
      </c>
    </row>
    <row r="5" spans="1:7" x14ac:dyDescent="0.25">
      <c r="B5" s="82" t="s">
        <v>122</v>
      </c>
      <c r="C5" s="112">
        <v>6.25645667314529E-2</v>
      </c>
      <c r="D5" s="112">
        <v>6.81407675147057E-2</v>
      </c>
      <c r="E5" s="112">
        <f>1-SUM(E2:E4)</f>
        <v>0.15980207920074507</v>
      </c>
      <c r="F5" s="112">
        <f>1-SUM(F2:F4)</f>
        <v>0.37161004543304399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2022-03-01T00:16:14Z</dcterms:modified>
</cp:coreProperties>
</file>