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regions/"/>
    </mc:Choice>
  </mc:AlternateContent>
  <xr:revisionPtr revIDLastSave="0" documentId="12_ncr:500000_{AD9B99F4-8E48-3F4B-8B1F-6CA52805EBF9}" xr6:coauthVersionLast="31" xr6:coauthVersionMax="31" xr10:uidLastSave="{00000000-0000-0000-0000-000000000000}"/>
  <bookViews>
    <workbookView xWindow="12800" yWindow="460" windowWidth="12800" windowHeight="15540" tabRatio="500" firstSheet="28" activeTab="28" xr2:uid="{00000000-000D-0000-FFFF-FFFF00000000}"/>
  </bookViews>
  <sheets>
    <sheet name="Expenditure &amp; budget" sheetId="47" r:id="rId1"/>
    <sheet name="Baseline year demographics" sheetId="1" r:id="rId2"/>
    <sheet name="Demographic projections" sheetId="2" r:id="rId3"/>
    <sheet name="Annual prevalence" sheetId="46" r:id="rId4"/>
    <sheet name="Causes of death" sheetId="4" r:id="rId5"/>
    <sheet name="Distributions" sheetId="5" r:id="rId6"/>
    <sheet name="Incidence of conditions" sheetId="7" r:id="rId7"/>
    <sheet name="Prevalence of anaemia" sheetId="29" r:id="rId8"/>
    <sheet name="Distribution births" sheetId="36" r:id="rId9"/>
    <sheet name="Birth outcomes &amp; risks" sheetId="6" r:id="rId10"/>
    <sheet name="Relative risks" sheetId="26" r:id="rId11"/>
    <sheet name="Odds ratios" sheetId="27" r:id="rId12"/>
    <sheet name="IYCF package odds ratios" sheetId="32" r:id="rId13"/>
    <sheet name="IYCF packages" sheetId="33" r:id="rId14"/>
    <sheet name="IYCF cost &amp; coverage" sheetId="35" r:id="rId15"/>
    <sheet name="Appropriate breastfeeding" sheetId="19" r:id="rId16"/>
    <sheet name="Programs birth outcomes" sheetId="22" r:id="rId17"/>
    <sheet name="Programs anaemia" sheetId="30" r:id="rId18"/>
    <sheet name="Programs wasting" sheetId="31" r:id="rId19"/>
    <sheet name="Programs for children" sheetId="28" r:id="rId20"/>
    <sheet name="Programs family planning" sheetId="34" r:id="rId21"/>
    <sheet name="Programs for PW" sheetId="38" r:id="rId22"/>
    <sheet name="Programs birth age" sheetId="37" r:id="rId23"/>
    <sheet name="Programs target population" sheetId="21" r:id="rId24"/>
    <sheet name="Programs impacted population" sheetId="39" r:id="rId25"/>
    <sheet name="Program dependencies" sheetId="40" r:id="rId26"/>
    <sheet name="Program risk areas" sheetId="41" r:id="rId27"/>
    <sheet name="Population risk areas" sheetId="42" r:id="rId28"/>
    <sheet name="Programs cost and coverage" sheetId="20" r:id="rId29"/>
    <sheet name="Programs annual spending" sheetId="43" r:id="rId30"/>
    <sheet name="Reference programs" sheetId="44" r:id="rId31"/>
    <sheet name="Programs to include" sheetId="45" r:id="rId32"/>
  </sheets>
  <externalReferences>
    <externalReference r:id="rId33"/>
  </externalReferences>
  <definedNames>
    <definedName name="FPCov">'[1]Programs cost and coverage'!$B$6</definedName>
    <definedName name="FPunmetNeed">'[1]Baseline year demographics'!$C$11</definedName>
    <definedName name="FracEatingWheat">'[1]Baseline year demographics'!$C$27</definedName>
    <definedName name="FracEatMaize">'[1]Baseline year demographics'!$C$28</definedName>
    <definedName name="FracEatRice">'[1]Baseline year demographics'!$C$26</definedName>
    <definedName name="FracPoor">'[1]Baseline year demographics'!$C$7</definedName>
    <definedName name="FracRiskMalaria">'[1]Baseline year demographics'!$C$8</definedName>
    <definedName name="FracSchoolAttendance">'[1]Baseline year demographics'!$C$6</definedName>
    <definedName name="NumNonPW">'[1]Baseline year demographics'!$C$38:$C$41</definedName>
    <definedName name="NumPW">'[1]Baseline year demographics'!$C$5</definedName>
    <definedName name="PWDist">'[1]Baseline year demographics'!$C$50:$C$53</definedName>
    <definedName name="PWPop">'[1]Baseline year demographics'!$C$44:$C$47</definedName>
    <definedName name="WRAPop">'[1]Baseline year demographics'!$C$32:$C$35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1" i="21" l="1"/>
  <c r="G51" i="21"/>
  <c r="H51" i="21"/>
  <c r="I51" i="21"/>
  <c r="J51" i="21"/>
  <c r="K51" i="21"/>
  <c r="L51" i="21"/>
  <c r="M51" i="21"/>
  <c r="N51" i="21"/>
  <c r="O51" i="21"/>
  <c r="F52" i="21"/>
  <c r="G52" i="21"/>
  <c r="H52" i="21"/>
  <c r="I52" i="21"/>
  <c r="J52" i="21"/>
  <c r="K52" i="21"/>
  <c r="L52" i="21"/>
  <c r="M52" i="21"/>
  <c r="N52" i="21"/>
  <c r="O52" i="21"/>
  <c r="F53" i="21"/>
  <c r="G53" i="21"/>
  <c r="H53" i="21"/>
  <c r="I53" i="21"/>
  <c r="J53" i="21"/>
  <c r="K53" i="21"/>
  <c r="L53" i="21"/>
  <c r="M53" i="21"/>
  <c r="N53" i="21"/>
  <c r="O53" i="21"/>
  <c r="E53" i="21"/>
  <c r="E52" i="21"/>
  <c r="E51" i="21"/>
  <c r="F6" i="7" l="1"/>
  <c r="E6" i="7"/>
  <c r="D6" i="7"/>
  <c r="C6" i="7"/>
  <c r="B6" i="7"/>
  <c r="F5" i="7"/>
  <c r="E5" i="7"/>
  <c r="D5" i="7"/>
  <c r="C5" i="7"/>
  <c r="B5" i="7"/>
  <c r="G3" i="5"/>
  <c r="F3" i="5"/>
  <c r="C3" i="5"/>
  <c r="G9" i="5"/>
  <c r="D9" i="5"/>
  <c r="C9" i="5"/>
  <c r="G2" i="5"/>
  <c r="F2" i="5"/>
  <c r="E2" i="5"/>
  <c r="E3" i="5" s="1"/>
  <c r="D2" i="5"/>
  <c r="D3" i="5" s="1"/>
  <c r="C2" i="5"/>
  <c r="G8" i="5"/>
  <c r="F8" i="5"/>
  <c r="F9" i="5" s="1"/>
  <c r="E8" i="5"/>
  <c r="E9" i="5" s="1"/>
  <c r="D8" i="5"/>
  <c r="C8" i="5"/>
  <c r="D7" i="20" l="1"/>
  <c r="C1" i="43" l="1"/>
  <c r="C2" i="35" l="1"/>
  <c r="O50" i="21"/>
  <c r="N50" i="21"/>
  <c r="M50" i="21"/>
  <c r="L50" i="21"/>
  <c r="K50" i="21"/>
  <c r="J50" i="21"/>
  <c r="I50" i="21"/>
  <c r="H50" i="21"/>
  <c r="G50" i="21"/>
  <c r="F50" i="21"/>
  <c r="E50" i="21"/>
  <c r="D50" i="21"/>
  <c r="C50" i="21"/>
  <c r="O38" i="21"/>
  <c r="N38" i="21"/>
  <c r="M38" i="21"/>
  <c r="L38" i="21"/>
  <c r="O36" i="21"/>
  <c r="N36" i="21"/>
  <c r="M36" i="21"/>
  <c r="L36" i="21"/>
  <c r="O35" i="21"/>
  <c r="N35" i="21"/>
  <c r="M35" i="21"/>
  <c r="L35" i="21"/>
  <c r="O34" i="21"/>
  <c r="N34" i="21"/>
  <c r="M34" i="21"/>
  <c r="L34" i="21"/>
  <c r="L33" i="21"/>
  <c r="O32" i="21"/>
  <c r="N32" i="21"/>
  <c r="M32" i="21"/>
  <c r="L32" i="21"/>
  <c r="O31" i="21"/>
  <c r="N31" i="21"/>
  <c r="M31" i="21"/>
  <c r="L31" i="21"/>
  <c r="L30" i="21"/>
  <c r="O29" i="21"/>
  <c r="N29" i="21"/>
  <c r="M29" i="21"/>
  <c r="L29" i="21"/>
  <c r="O28" i="21"/>
  <c r="N28" i="21"/>
  <c r="M28" i="21"/>
  <c r="L28" i="21"/>
  <c r="O27" i="21"/>
  <c r="N27" i="21"/>
  <c r="M27" i="21"/>
  <c r="L27" i="21"/>
  <c r="L26" i="21"/>
  <c r="O25" i="21"/>
  <c r="N25" i="21"/>
  <c r="M25" i="21"/>
  <c r="L25" i="21"/>
  <c r="O24" i="21"/>
  <c r="N24" i="21"/>
  <c r="M24" i="21"/>
  <c r="L24" i="21"/>
  <c r="L23" i="21"/>
  <c r="K21" i="21"/>
  <c r="J21" i="21"/>
  <c r="I21" i="21"/>
  <c r="H21" i="21"/>
  <c r="K20" i="21"/>
  <c r="J20" i="21"/>
  <c r="I20" i="21"/>
  <c r="H20" i="21"/>
  <c r="K19" i="21"/>
  <c r="J19" i="21"/>
  <c r="I19" i="21"/>
  <c r="H19" i="21"/>
  <c r="K18" i="21"/>
  <c r="J18" i="21"/>
  <c r="I18" i="21"/>
  <c r="H18" i="21"/>
  <c r="K17" i="21"/>
  <c r="J17" i="21"/>
  <c r="I17" i="21"/>
  <c r="H17" i="21"/>
  <c r="K16" i="21"/>
  <c r="J16" i="21"/>
  <c r="I16" i="21"/>
  <c r="H16" i="21"/>
  <c r="G11" i="21"/>
  <c r="F11" i="21"/>
  <c r="E11" i="21"/>
  <c r="D11" i="21"/>
  <c r="G10" i="21"/>
  <c r="F10" i="21"/>
  <c r="E10" i="21"/>
  <c r="G9" i="21"/>
  <c r="F9" i="21"/>
  <c r="E9" i="21"/>
  <c r="F8" i="21"/>
  <c r="E8" i="21"/>
  <c r="F7" i="21"/>
  <c r="E7" i="21"/>
  <c r="F6" i="21"/>
  <c r="E6" i="21"/>
  <c r="K12" i="46"/>
  <c r="K11" i="46"/>
  <c r="K10" i="46"/>
  <c r="K9" i="46"/>
  <c r="K8" i="46"/>
  <c r="K6" i="46"/>
  <c r="K5" i="46"/>
  <c r="K4" i="46"/>
  <c r="K3" i="46"/>
  <c r="K2" i="46"/>
  <c r="C2" i="6" l="1"/>
  <c r="C47" i="1" l="1"/>
  <c r="C48" i="1"/>
  <c r="C49" i="1"/>
  <c r="C46" i="1"/>
  <c r="C40" i="1" s="1"/>
  <c r="C6" i="35" l="1"/>
  <c r="C5" i="35"/>
  <c r="C3" i="35"/>
  <c r="C4" i="35"/>
  <c r="N37" i="21"/>
  <c r="L37" i="21"/>
  <c r="O37" i="21"/>
  <c r="M37" i="21"/>
  <c r="A100" i="43"/>
  <c r="A98" i="43"/>
  <c r="A96" i="43"/>
  <c r="A94" i="43"/>
  <c r="A92" i="43"/>
  <c r="A90" i="43"/>
  <c r="A88" i="43"/>
  <c r="A86" i="43"/>
  <c r="A84" i="43"/>
  <c r="A82" i="43"/>
  <c r="A80" i="43"/>
  <c r="A78" i="43"/>
  <c r="A76" i="43"/>
  <c r="A74" i="43"/>
  <c r="A72" i="43"/>
  <c r="A70" i="43"/>
  <c r="A68" i="43"/>
  <c r="A66" i="43"/>
  <c r="A64" i="43"/>
  <c r="A62" i="43"/>
  <c r="A60" i="43"/>
  <c r="A58" i="43"/>
  <c r="A56" i="43"/>
  <c r="A54" i="43"/>
  <c r="A52" i="43"/>
  <c r="A50" i="43"/>
  <c r="A48" i="43"/>
  <c r="A46" i="43"/>
  <c r="A44" i="43"/>
  <c r="A42" i="43"/>
  <c r="A40" i="43"/>
  <c r="A38" i="43"/>
  <c r="A36" i="43"/>
  <c r="A34" i="43"/>
  <c r="A32" i="43"/>
  <c r="A30" i="43"/>
  <c r="A28" i="43"/>
  <c r="A26" i="43"/>
  <c r="A24" i="43"/>
  <c r="A22" i="43"/>
  <c r="A20" i="43"/>
  <c r="A18" i="43"/>
  <c r="A16" i="43"/>
  <c r="A14" i="43"/>
  <c r="A12" i="43"/>
  <c r="A10" i="43"/>
  <c r="A8" i="43"/>
  <c r="A6" i="43"/>
  <c r="A4" i="43"/>
  <c r="A2" i="43"/>
  <c r="E2" i="37"/>
  <c r="D2" i="37"/>
  <c r="C2" i="37"/>
  <c r="D15" i="22"/>
  <c r="C15" i="22"/>
  <c r="D13" i="22"/>
  <c r="C13" i="22"/>
  <c r="A101" i="43" l="1"/>
  <c r="A99" i="43"/>
  <c r="A97" i="43"/>
  <c r="A95" i="43"/>
  <c r="A93" i="43"/>
  <c r="A91" i="43"/>
  <c r="A89" i="43"/>
  <c r="A87" i="43"/>
  <c r="A85" i="43"/>
  <c r="A83" i="43"/>
  <c r="A81" i="43"/>
  <c r="A79" i="43"/>
  <c r="A77" i="43"/>
  <c r="A75" i="43"/>
  <c r="A73" i="43"/>
  <c r="A71" i="43"/>
  <c r="A69" i="43"/>
  <c r="A67" i="43"/>
  <c r="A65" i="43"/>
  <c r="A63" i="43"/>
  <c r="A61" i="43"/>
  <c r="A59" i="43"/>
  <c r="A57" i="43"/>
  <c r="A55" i="43"/>
  <c r="A53" i="43"/>
  <c r="A51" i="43"/>
  <c r="A49" i="43"/>
  <c r="A47" i="43"/>
  <c r="A45" i="43"/>
  <c r="A43" i="43"/>
  <c r="A41" i="43"/>
  <c r="A39" i="43"/>
  <c r="A37" i="43"/>
  <c r="A35" i="43"/>
  <c r="A33" i="43"/>
  <c r="A31" i="43"/>
  <c r="A29" i="43"/>
  <c r="A27" i="43"/>
  <c r="A25" i="43"/>
  <c r="A23" i="43"/>
  <c r="A21" i="43"/>
  <c r="A19" i="43"/>
  <c r="A17" i="43"/>
  <c r="A15" i="43"/>
  <c r="A13" i="43"/>
  <c r="A11" i="43"/>
  <c r="A9" i="43"/>
  <c r="A7" i="43"/>
  <c r="A5" i="43"/>
  <c r="A3" i="43"/>
  <c r="D1" i="43"/>
  <c r="E1" i="43" s="1"/>
  <c r="F1" i="43" s="1"/>
  <c r="G1" i="43" s="1"/>
  <c r="H1" i="43" s="1"/>
  <c r="I1" i="43" s="1"/>
  <c r="J1" i="43" s="1"/>
  <c r="K1" i="43" s="1"/>
  <c r="L1" i="43" s="1"/>
  <c r="M1" i="43" s="1"/>
  <c r="N1" i="43" s="1"/>
  <c r="O1" i="43" s="1"/>
  <c r="P1" i="43" s="1"/>
  <c r="G17" i="28"/>
  <c r="F17" i="28"/>
  <c r="G15" i="28"/>
  <c r="F15" i="28"/>
  <c r="G13" i="28"/>
  <c r="F13" i="28"/>
  <c r="G11" i="28"/>
  <c r="F11" i="28"/>
  <c r="G9" i="28"/>
  <c r="F9" i="28"/>
  <c r="G7" i="28"/>
  <c r="F7" i="28"/>
  <c r="H4" i="28"/>
  <c r="G4" i="28"/>
  <c r="F4" i="28"/>
  <c r="H3" i="28"/>
  <c r="G3" i="28"/>
  <c r="F3" i="28"/>
  <c r="C12" i="35"/>
  <c r="C11" i="35"/>
  <c r="C10" i="35"/>
  <c r="C9" i="35"/>
  <c r="C8" i="35"/>
  <c r="O6" i="29" l="1"/>
  <c r="N6" i="29"/>
  <c r="N3" i="29" s="1"/>
  <c r="M6" i="29"/>
  <c r="M3" i="29" s="1"/>
  <c r="L6" i="29"/>
  <c r="L3" i="29" s="1"/>
  <c r="K6" i="29"/>
  <c r="I6" i="29"/>
  <c r="I3" i="29" s="1"/>
  <c r="H6" i="29"/>
  <c r="H3" i="29" s="1"/>
  <c r="E6" i="29"/>
  <c r="E3" i="29" s="1"/>
  <c r="J6" i="29"/>
  <c r="J3" i="29" s="1"/>
  <c r="G6" i="29"/>
  <c r="G3" i="29" s="1"/>
  <c r="F6" i="29"/>
  <c r="F3" i="29" s="1"/>
  <c r="O3" i="29"/>
  <c r="K26" i="46" s="1"/>
  <c r="K3" i="29"/>
  <c r="K22" i="46" s="1"/>
  <c r="D3" i="29"/>
  <c r="C3" i="29"/>
  <c r="K14" i="46" s="1"/>
  <c r="C2" i="29"/>
  <c r="D40" i="20"/>
  <c r="D2" i="29" l="1"/>
  <c r="K15" i="46"/>
  <c r="D39" i="20"/>
  <c r="K16" i="46"/>
  <c r="E2" i="29"/>
  <c r="L2" i="29"/>
  <c r="K23" i="46"/>
  <c r="H2" i="29"/>
  <c r="K19" i="46"/>
  <c r="K24" i="46"/>
  <c r="M2" i="29"/>
  <c r="K20" i="46"/>
  <c r="I2" i="29"/>
  <c r="K25" i="46"/>
  <c r="N2" i="29"/>
  <c r="F2" i="29"/>
  <c r="K17" i="46"/>
  <c r="O2" i="29"/>
  <c r="G2" i="29"/>
  <c r="K18" i="46"/>
  <c r="K2" i="29"/>
  <c r="J2" i="29"/>
  <c r="K21" i="46"/>
  <c r="C43" i="1"/>
  <c r="C42" i="1"/>
  <c r="C41" i="1"/>
  <c r="E2" i="34" l="1"/>
  <c r="E3" i="34"/>
  <c r="E4" i="34"/>
  <c r="E5" i="34"/>
  <c r="E6" i="34"/>
  <c r="E7" i="34"/>
  <c r="E8" i="34"/>
  <c r="E9" i="34"/>
  <c r="E10" i="34"/>
  <c r="H3" i="2"/>
  <c r="H4" i="2"/>
  <c r="J4" i="2" s="1"/>
  <c r="H5" i="2"/>
  <c r="H6" i="2"/>
  <c r="H7" i="2"/>
  <c r="H8" i="2"/>
  <c r="H9" i="2"/>
  <c r="H10" i="2"/>
  <c r="H11" i="2"/>
  <c r="H12" i="2"/>
  <c r="J12" i="2" s="1"/>
  <c r="H13" i="2"/>
  <c r="H14" i="2"/>
  <c r="H15" i="2"/>
  <c r="H2" i="2"/>
  <c r="J2" i="2"/>
  <c r="I3" i="2"/>
  <c r="I4" i="2"/>
  <c r="I5" i="2"/>
  <c r="I6" i="2"/>
  <c r="K6" i="2" s="1"/>
  <c r="I7" i="2"/>
  <c r="I8" i="2"/>
  <c r="I9" i="2"/>
  <c r="I10" i="2"/>
  <c r="K10" i="2" s="1"/>
  <c r="I11" i="2"/>
  <c r="K11" i="2"/>
  <c r="I12" i="2"/>
  <c r="I13" i="2"/>
  <c r="I14" i="2"/>
  <c r="K14" i="2" s="1"/>
  <c r="I15" i="2"/>
  <c r="I2" i="2"/>
  <c r="J3" i="2"/>
  <c r="J6" i="2"/>
  <c r="J7" i="2"/>
  <c r="J10" i="2"/>
  <c r="J11" i="2"/>
  <c r="J14" i="2"/>
  <c r="J15" i="2"/>
  <c r="K3" i="2" l="1"/>
  <c r="K9" i="2"/>
  <c r="K8" i="2"/>
  <c r="K4" i="2"/>
  <c r="K15" i="2"/>
  <c r="K2" i="2"/>
  <c r="J8" i="2"/>
  <c r="D6" i="20"/>
  <c r="K7" i="2"/>
  <c r="K13" i="2"/>
  <c r="K5" i="2"/>
  <c r="K12" i="2"/>
  <c r="J13" i="2"/>
  <c r="J9" i="2"/>
  <c r="J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2" authorId="0" shapeId="0" xr:uid="{3C0366ED-274C-A343-80E2-1F473A13BF65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Ensures that the 'current spending' value is equal to this.</t>
        </r>
      </text>
    </comment>
    <comment ref="A3" authorId="0" shapeId="0" xr:uid="{FFE1CC43-9257-204F-8355-3EFBB5CAC338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funds that are available for program allocation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Janka Petravic</author>
    <author>Rowan</author>
    <author xml:space="preserve"> Janka Petravic</author>
  </authors>
  <commentList>
    <comment ref="B5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this is needed anymore</t>
        </r>
      </text>
    </comment>
    <comment ref="C7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fraction of women with secondary education</t>
        </r>
      </text>
    </comment>
    <comment ref="B8" authorId="1" shapeId="0" xr:uid="{00000000-0006-0000-0000-000003000000}">
      <text>
        <r>
          <rPr>
            <b/>
            <sz val="9"/>
            <color rgb="FF000000"/>
            <rFont val="Arial"/>
            <family val="2"/>
          </rPr>
          <t>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Fraction food insecure in the target population (here the lowest 2 wealth quintiles)</t>
        </r>
      </text>
    </comment>
    <comment ref="C8" authorId="2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 Janka Petravic:
</t>
        </r>
        <r>
          <rPr>
            <sz val="9"/>
            <color rgb="FF000000"/>
            <rFont val="Tahoma"/>
            <family val="2"/>
          </rPr>
          <t xml:space="preserve">National poverty lines; for WDI poverty line it is 0.466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19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per 1,000 live births</t>
        </r>
      </text>
    </comment>
    <comment ref="B20" authorId="3" shapeId="0" xr:uid="{00000000-0006-0000-0000-000006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Fraction of pregnancies ending in spontaneous abortion</t>
        </r>
      </text>
    </comment>
    <comment ref="B21" authorId="3" shapeId="0" xr:uid="{00000000-0006-0000-00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Number of stillbirths per 1000 TOTAL births</t>
        </r>
      </text>
    </comment>
    <comment ref="B22" authorId="3" shapeId="0" xr:uid="{00000000-0006-0000-0000-000008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has lower values for all mortalities based on UN Inter-Agency Group for child mortality estimation.
UN IA GCME estimate: 18.8</t>
        </r>
      </text>
    </comment>
    <comment ref="C22" authorId="3" shapeId="0" xr:uid="{00000000-0006-0000-0000-000009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TDHS 2015-16</t>
        </r>
      </text>
    </comment>
    <comment ref="B23" authorId="3" shapeId="0" xr:uid="{00000000-0006-0000-0000-00000A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GCME estimate from LiST:  35.2</t>
        </r>
      </text>
    </comment>
    <comment ref="C23" authorId="3" shapeId="0" xr:uid="{00000000-0006-0000-0000-00000B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TDHS 2015-16</t>
        </r>
      </text>
    </comment>
    <comment ref="B24" authorId="3" shapeId="0" xr:uid="{00000000-0006-0000-0000-00000C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GCME estimate from LiST: 48.7</t>
        </r>
      </text>
    </comment>
    <comment ref="C24" authorId="3" shapeId="0" xr:uid="{00000000-0006-0000-0000-00000D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TDHS 2015-16</t>
        </r>
      </text>
    </comment>
    <comment ref="C26" authorId="3" shapeId="0" xr:uid="{00000000-0006-0000-0000-00000E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Guesses</t>
        </r>
      </text>
    </comment>
    <comment ref="A52" authorId="3" shapeId="0" xr:uid="{00000000-0006-0000-0000-00000F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H1" authorId="0" shapeId="0" xr:uid="{00000000-0006-0000-01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I1" authorId="0" shapeId="0" xr:uid="{00000000-0006-0000-01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J1" authorId="0" shapeId="0" xr:uid="{00000000-0006-0000-0100-00000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1" authorId="0" shapeId="0" xr:uid="{00000000-0006-0000-03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don't model deaths through severe diarrhoea specifically, only deaths through diarrhoea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A2" authorId="0" shapeId="0" xr:uid="{00000000-0006-0000-04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has higher values 'recalculated across countries for consistency'</t>
        </r>
      </text>
    </comment>
    <comment ref="D10" authorId="0" shapeId="0" xr:uid="{00000000-0006-0000-04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13.56</t>
        </r>
      </text>
    </comment>
    <comment ref="E10" authorId="0" shapeId="0" xr:uid="{00000000-0006-0000-0400-00000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7.11</t>
        </r>
      </text>
    </comment>
    <comment ref="F10" authorId="0" shapeId="0" xr:uid="{00000000-0006-0000-04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5.47</t>
        </r>
      </text>
    </comment>
    <comment ref="G10" authorId="0" shapeId="0" xr:uid="{00000000-0006-0000-04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1.97</t>
        </r>
      </text>
    </comment>
    <comment ref="D11" authorId="0" shapeId="0" xr:uid="{00000000-0006-0000-04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4.01</t>
        </r>
      </text>
    </comment>
    <comment ref="E11" authorId="0" shapeId="0" xr:uid="{00000000-0006-0000-04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2.84</t>
        </r>
      </text>
    </comment>
    <comment ref="F11" authorId="0" shapeId="0" xr:uid="{00000000-0006-0000-0400-000008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1.49</t>
        </r>
      </text>
    </comment>
    <comment ref="G11" authorId="0" shapeId="0" xr:uid="{00000000-0006-0000-0400-000009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0.79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Sam</author>
  </authors>
  <commentList>
    <comment ref="A1" authorId="0" shapeId="0" xr:uid="{00000000-0006-0000-05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&amp; DHS</t>
        </r>
      </text>
    </comment>
    <comment ref="B5" authorId="1" shapeId="0" xr:uid="{00000000-0006-0000-0500-000002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From Jakub's book, annual incidence of severe acute wasting is annual prevalence * 2.6  (p. 147). Assuming the same to be true for moderate wasting.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Nick</author>
    <author xml:space="preserve"> Janka Petravic</author>
  </authors>
  <commentList>
    <comment ref="A2" authorId="0" shapeId="0" xr:uid="{00000000-0006-0000-06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Using prevalence of iron-deficient anaemia</t>
        </r>
      </text>
    </comment>
    <comment ref="C5" authorId="0" shapeId="0" xr:uid="{00000000-0006-0000-06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Fictional</t>
        </r>
      </text>
    </comment>
    <comment ref="E5" authorId="1" shapeId="0" xr:uid="{00000000-0006-0000-0600-000003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  <comment ref="C6" authorId="0" shapeId="0" xr:uid="{00000000-0006-0000-0600-000004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Fictional</t>
        </r>
      </text>
    </comment>
    <comment ref="E6" authorId="2" shapeId="0" xr:uid="{00000000-0006-0000-0600-000005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Stevens: 42% of global childhood anemia is ID</t>
        </r>
      </text>
    </comment>
    <comment ref="H6" authorId="2" shapeId="0" xr:uid="{00000000-0006-0000-06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L6" authorId="2" shapeId="0" xr:uid="{00000000-0006-0000-06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C7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D7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E7" authorId="1" shapeId="0" xr:uid="{00000000-0006-0000-0600-00000A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  <comment ref="F7" authorId="1" shapeId="0" xr:uid="{00000000-0006-0000-0600-00000B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G7" authorId="1" shapeId="0" xr:uid="{00000000-0006-0000-0600-00000C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</author>
  </authors>
  <commentList>
    <comment ref="C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B2" authorId="0" shapeId="0" xr:uid="{00000000-0006-0000-08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Term AGA should be given by a formula in the spreadsheet. The result should be greyed to indicate that it is calculated.</t>
        </r>
      </text>
    </comment>
    <comment ref="B5" authorId="0" shapeId="0" xr:uid="{00000000-0006-0000-08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Kozuki 2012, for hematocrit &lt;90g/L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Janka Petravic</author>
  </authors>
  <commentList>
    <comment ref="A6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May not need these beyond calculation below</t>
        </r>
      </text>
    </comment>
    <comment ref="F12" authorId="1" shapeId="0" xr:uid="{00000000-0006-0000-0A00-000002000000}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LiST: 1.11</t>
        </r>
      </text>
    </comment>
    <comment ref="B13" authorId="0" shapeId="0" xr:uid="{00000000-0006-0000-0A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calculation 'dilutes' OR so that we cover 'everyone' with IYCF, not just frac poor</t>
        </r>
      </text>
    </comment>
    <comment ref="E13" authorId="0" shapeId="0" xr:uid="{00000000-0006-0000-0A00-000004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these in the params documentation</t>
        </r>
      </text>
    </comment>
    <comment ref="B14" authorId="0" shapeId="0" xr:uid="{00000000-0006-0000-0A00-000005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15" authorId="0" shapeId="0" xr:uid="{00000000-0006-0000-0A00-000006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assumes we deliver PPCF with education to the poor</t>
        </r>
      </text>
    </comment>
    <comment ref="B16" authorId="0" shapeId="0" xr:uid="{00000000-0006-0000-0A00-000007000000}">
      <text>
        <r>
          <rPr>
            <sz val="10"/>
            <color rgb="FF000000"/>
            <rFont val="Calibri"/>
            <family val="2"/>
            <scheme val="minor"/>
          </rPr>
          <t>Sam: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This assumes we deliver PPCF with education to the poor</t>
        </r>
      </text>
    </comment>
    <comment ref="C21" authorId="0" shapeId="0" xr:uid="{00000000-0006-0000-0A00-00000A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same as stunting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9" authorId="0" shapeId="0" xr:uid="{00000000-0006-0000-0B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currently do not have 'appropriate complementary feeding' data to use, so this does nothing.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E1" authorId="0" shapeId="0" xr:uid="{00000000-0006-0000-0C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Nick</author>
  </authors>
  <commentList>
    <comment ref="C8" authorId="0" shapeId="0" xr:uid="{00000000-0006-0000-0D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1.5*unit cost of BFP</t>
        </r>
      </text>
    </comment>
    <comment ref="D8" authorId="1" shapeId="0" xr:uid="{00000000-0006-0000-0D00-000002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 of BF + CFE for Tanzania</t>
        </r>
      </text>
    </comment>
    <comment ref="E8" authorId="0" shapeId="0" xr:uid="{00000000-0006-0000-0D00-000003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Totally fictional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Microsoft Office User</author>
  </authors>
  <commentList>
    <comment ref="C3" authorId="0" shapeId="0" xr:uid="{00000000-0006-0000-0F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Poor pregnant women - all target population</t>
        </r>
      </text>
    </comment>
    <comment ref="C13" authorId="1" shapeId="0" xr:uid="{00000000-0006-0000-0F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3" authorId="1" shapeId="0" xr:uid="{00000000-0006-0000-0F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C15" authorId="1" shapeId="0" xr:uid="{00000000-0006-0000-0F00-00000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5" authorId="1" shapeId="0" xr:uid="{00000000-0006-0000-0F00-000005000000}">
      <text>
        <r>
          <rPr>
            <sz val="10"/>
            <color rgb="FF000000"/>
            <rFont val="Calibri"/>
            <family val="2"/>
            <scheme val="minor"/>
          </rPr>
          <t>Microsoft Office User: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% at risk from malaria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Microsoft Office User</author>
    <author>Ruth</author>
  </authors>
  <commentList>
    <comment ref="B2" authorId="0" shapeId="0" xr:uid="{00000000-0006-0000-10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2" authorId="1" shapeId="0" xr:uid="{00000000-0006-0000-1000-000002000000}">
      <text>
        <r>
          <rPr>
            <b/>
            <sz val="10"/>
            <color rgb="FF000000"/>
            <rFont val="Calibri"/>
            <family val="2"/>
          </rPr>
          <t xml:space="preserve">Microsoft Office User: 
</t>
        </r>
        <r>
          <rPr>
            <b/>
            <sz val="10"/>
            <color rgb="FF000000"/>
            <rFont val="Calibri"/>
            <family val="2"/>
          </rPr>
          <t xml:space="preserve">This RR is from the book.
</t>
        </r>
        <r>
          <rPr>
            <b/>
            <sz val="10"/>
            <color rgb="FF000000"/>
            <rFont val="Calibri"/>
            <family val="2"/>
          </rPr>
          <t>LiST uses RR=0.63 for all-cause ; RR=0.33  for IDA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M2" authorId="1" shapeId="0" xr:uid="{00000000-0006-0000-1000-000003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2" authorId="1" shapeId="0" xr:uid="{00000000-0006-0000-1000-000004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2" authorId="1" shapeId="0" xr:uid="{00000000-0006-0000-1000-000005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3" authorId="0" shapeId="0" xr:uid="{00000000-0006-0000-10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3" authorId="1" shapeId="0" xr:uid="{00000000-0006-0000-1000-000007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3" authorId="1" shapeId="0" xr:uid="{00000000-0006-0000-1000-000008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3" authorId="1" shapeId="0" xr:uid="{00000000-0006-0000-1000-000009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3" authorId="1" shapeId="0" xr:uid="{00000000-0006-0000-1000-00000A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4" authorId="1" shapeId="0" xr:uid="{00000000-0006-0000-1000-00000B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4" authorId="1" shapeId="0" xr:uid="{00000000-0006-0000-1000-00000C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4" authorId="1" shapeId="0" xr:uid="{00000000-0006-0000-1000-00000D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4" authorId="1" shapeId="0" xr:uid="{00000000-0006-0000-1000-00000E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5" authorId="1" shapeId="0" xr:uid="{00000000-0006-0000-1000-00000F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5" authorId="1" shapeId="0" xr:uid="{00000000-0006-0000-1000-000010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5" authorId="1" shapeId="0" xr:uid="{00000000-0006-0000-1000-000011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5" authorId="1" shapeId="0" xr:uid="{00000000-0006-0000-1000-000012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23" authorId="1" shapeId="0" xr:uid="{00000000-0006-0000-1000-00001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Source: WHO guidelines on sprinkles</t>
        </r>
      </text>
    </comment>
    <comment ref="E23" authorId="1" shapeId="0" xr:uid="{00000000-0006-0000-1000-00001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E24" authorId="1" shapeId="0" xr:uid="{00000000-0006-0000-1000-000015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B25" authorId="1" shapeId="0" xr:uid="{00000000-0006-0000-1000-000016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in malaria risk</t>
        </r>
      </text>
    </comment>
    <comment ref="E27" authorId="2" shapeId="0" xr:uid="{00000000-0006-0000-1000-000017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this number up
</t>
        </r>
      </text>
    </comment>
    <comment ref="B28" authorId="1" shapeId="0" xr:uid="{00000000-0006-0000-1000-000018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Microsoft Office User</author>
  </authors>
  <commentList>
    <comment ref="F3" authorId="0" shapeId="0" xr:uid="{00000000-0006-0000-12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Used RR from params and AF above</t>
        </r>
      </text>
    </comment>
    <comment ref="B5" authorId="0" shapeId="0" xr:uid="{00000000-0006-0000-12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Probably can delete</t>
        </r>
      </text>
    </comment>
    <comment ref="F7" authorId="0" shapeId="0" xr:uid="{00000000-0006-0000-1200-000003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RR in params doc, I fixed AF and solved for Eff</t>
        </r>
      </text>
    </comment>
    <comment ref="F21" authorId="1" shapeId="0" xr:uid="{00000000-0006-0000-1200-00000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WHO statement</t>
        </r>
      </text>
    </comment>
    <comment ref="D22" authorId="0" shapeId="0" xr:uid="{00000000-0006-0000-1200-000005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23" authorId="0" shapeId="0" xr:uid="{00000000-0006-0000-1200-000006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43" authorId="0" shapeId="0" xr:uid="{00000000-0006-0000-1200-000007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  <comment ref="D46" authorId="0" shapeId="0" xr:uid="{00000000-0006-0000-1200-000008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</author>
  </authors>
  <commentList>
    <comment ref="D2" authorId="0" shapeId="0" xr:uid="{00000000-0006-0000-1300-000001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Ruth made these numbers up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Ruth</author>
  </authors>
  <commentList>
    <comment ref="C2" authorId="0" shapeId="0" xr:uid="{00000000-0006-0000-15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assume target pop is WRA &lt;18 years, then this is just  birth age distribution for
 this age
</t>
        </r>
      </text>
    </comment>
    <comment ref="C3" authorId="1" shapeId="0" xr:uid="{00000000-0006-0000-1500-000002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numbers up for effectiveness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 xml:space="preserve"> Janka Petravic</author>
  </authors>
  <commentList>
    <comment ref="B6" authorId="0" shapeId="0" xr:uid="{00000000-0006-0000-16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poor
</t>
        </r>
      </text>
    </comment>
    <comment ref="B11" authorId="0" shapeId="0" xr:uid="{00000000-0006-0000-16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Fraction poor</t>
        </r>
      </text>
    </comment>
    <comment ref="B16" authorId="0" shapeId="0" xr:uid="{00000000-0006-0000-16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food insecure</t>
        </r>
      </text>
    </comment>
    <comment ref="B20" authorId="1" shapeId="0" xr:uid="{00000000-0006-0000-1600-000004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Mutually exclusive with AMS, target = 1 - coverage of AMS - pregnant at risk of malaria not receiving IPTp or bednets</t>
        </r>
      </text>
    </comment>
    <comment ref="B21" authorId="1" shapeId="0" xr:uid="{00000000-0006-0000-16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3" authorId="1" shapeId="0" xr:uid="{00000000-0006-0000-16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Coverage of these interventions is mutually exclusive</t>
        </r>
      </text>
    </comment>
    <comment ref="B50" authorId="0" shapeId="0" xr:uid="{00000000-0006-0000-1600-000007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Exposed to malaria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Microsoft Office User</author>
    <author xml:space="preserve"> Janka Petravic</author>
  </authors>
  <commentList>
    <comment ref="B1" authorId="0" shapeId="0" xr:uid="{00000000-0006-0000-18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 of another</t>
        </r>
      </text>
    </comment>
    <comment ref="C1" authorId="0" shapeId="0" xr:uid="{00000000-0006-0000-18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 of another</t>
        </r>
      </text>
    </comment>
    <comment ref="A7" authorId="1" shapeId="0" xr:uid="{00000000-0006-0000-18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  <comment ref="A12" authorId="2" shapeId="0" xr:uid="{00000000-0006-0000-18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13" authorId="2" shapeId="0" xr:uid="{00000000-0006-0000-18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22" authorId="2" shapeId="0" xr:uid="{00000000-0006-0000-18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4" authorId="2" shapeId="0" xr:uid="{00000000-0006-0000-18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</author>
    <author>Microsoft Office User</author>
    <author xml:space="preserve"> Janka Petravic</author>
    <author>Nick</author>
    <author>Sam</author>
  </authors>
  <commentList>
    <comment ref="B3" authorId="0" shapeId="0" xr:uid="{00000000-0006-0000-1B00-000001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made these values up
</t>
        </r>
      </text>
    </comment>
    <comment ref="D5" authorId="1" shapeId="0" xr:uid="{00000000-0006-0000-1B00-000002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Per person per year</t>
        </r>
      </text>
    </comment>
    <comment ref="C8" authorId="0" shapeId="0" xr:uid="{00000000-0006-0000-1B00-000003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This is the fraction of the population eating these staples and belongs here.</t>
        </r>
      </text>
    </comment>
    <comment ref="D8" authorId="1" shapeId="0" xr:uid="{00000000-0006-0000-1B00-000004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orton Copenhagen Consensus 2008</t>
        </r>
      </text>
    </comment>
    <comment ref="A9" authorId="1" shapeId="0" xr:uid="{00000000-0006-0000-1B00-000005000000}">
      <text>
        <r>
          <rPr>
            <sz val="10"/>
            <color rgb="FF000000"/>
            <rFont val="Calibri"/>
            <family val="2"/>
            <scheme val="minor"/>
          </rPr>
          <t>Microsoft Office User: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Same effect as iron fortification</t>
        </r>
      </text>
    </comment>
    <comment ref="D9" authorId="1" shapeId="0" xr:uid="{00000000-0006-0000-1B00-000006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orton Copenhagen Consensus 2008</t>
        </r>
      </text>
    </comment>
    <comment ref="A14" authorId="2" shapeId="0" xr:uid="{00000000-0006-0000-1B00-000007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There is no unit cost for this to impact the budget.</t>
        </r>
      </text>
    </comment>
    <comment ref="D14" authorId="1" shapeId="0" xr:uid="{00000000-0006-0000-1B00-000008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15" authorId="2" shapeId="0" xr:uid="{00000000-0006-0000-1B00-000009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There is no unit cost for this to impact the budget.</t>
        </r>
      </text>
    </comment>
    <comment ref="D15" authorId="1" shapeId="0" xr:uid="{00000000-0006-0000-1B00-00000A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24" authorId="2" shapeId="0" xr:uid="{00000000-0006-0000-1B00-00000B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B24" authorId="3" shapeId="0" xr:uid="{00000000-0006-0000-1B00-00000C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DHS: percentage who received two or more doses</t>
        </r>
      </text>
    </comment>
    <comment ref="D25" authorId="1" shapeId="0" xr:uid="{00000000-0006-0000-1B00-00000D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 data in the book, made up as = to IFAS for non-pregnant in hospital</t>
        </r>
      </text>
    </comment>
    <comment ref="A26" authorId="2" shapeId="0" xr:uid="{00000000-0006-0000-1B00-00000E000000}">
      <text>
        <r>
          <rPr>
            <b/>
            <sz val="9"/>
            <color rgb="FF000000"/>
            <rFont val="Arial"/>
            <family val="2"/>
          </rPr>
          <t>Mutually exclusive with AMS, target = 1 - coverage of AMS - pregnant at risk of malaria not receiving IPTp or bednets_x000D_
_x000D_
Using regional antenatal micronutrient supplementation as proxy_x000D_
_x000D_
AMS regional comment:  Janka Petravic:
IFAS</t>
        </r>
      </text>
    </comment>
    <comment ref="B28" authorId="3" shapeId="0" xr:uid="{00000000-0006-0000-1B00-00000F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DHS: percentage of U5 children who slept unden an LLIN last night</t>
        </r>
      </text>
    </comment>
    <comment ref="D28" authorId="4" shapeId="0" xr:uid="{00000000-0006-0000-1B00-000010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From Nick</t>
        </r>
      </text>
    </comment>
    <comment ref="D36" authorId="0" shapeId="0" xr:uid="{00000000-0006-0000-1B00-000011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made up
</t>
        </r>
        <r>
          <rPr>
            <sz val="9"/>
            <color rgb="FF000000"/>
            <rFont val="Arial"/>
            <family val="2"/>
          </rPr>
          <t>Janka: add $1 as cost of sprinkles</t>
        </r>
      </text>
    </comment>
    <comment ref="D37" authorId="1" shapeId="0" xr:uid="{00000000-0006-0000-1B00-000012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Horton CCC 2008: $0.9 -&gt; use $1 because of inflation</t>
        </r>
      </text>
    </comment>
    <comment ref="C41" authorId="2" shapeId="0" xr:uid="{00000000-0006-0000-1B00-00001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is also BCG coverage</t>
        </r>
      </text>
    </comment>
    <comment ref="B42" authorId="3" shapeId="0" xr:uid="{00000000-0006-0000-1B00-000014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DHS. LiST has 13%</t>
        </r>
      </text>
    </comment>
    <comment ref="B43" authorId="3" shapeId="0" xr:uid="{00000000-0006-0000-1B00-000015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  <comment ref="B44" authorId="3" shapeId="0" xr:uid="{00000000-0006-0000-1B00-000016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DHS. LiST has 15.6%</t>
        </r>
      </text>
    </comment>
    <comment ref="B45" authorId="3" shapeId="0" xr:uid="{00000000-0006-0000-1B00-000017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55.6%</t>
        </r>
      </text>
    </comment>
    <comment ref="D45" authorId="3" shapeId="0" xr:uid="{00000000-0006-0000-1B00-000018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From One health, Africa. Construnction costs. Ongoing 2.5-10% operation costs not included</t>
        </r>
      </text>
    </comment>
    <comment ref="B46" authorId="3" shapeId="0" xr:uid="{00000000-0006-0000-1B00-000019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12.6</t>
        </r>
      </text>
    </comment>
    <comment ref="D46" authorId="3" shapeId="0" xr:uid="{00000000-0006-0000-1B00-00001A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OneHealth: Africa $102 construction costs. Does not include 2.5-10% operation / maintenance</t>
        </r>
      </text>
    </comment>
    <comment ref="B47" authorId="3" shapeId="0" xr:uid="{00000000-0006-0000-1B00-00001B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C1" authorId="0" shapeId="0" xr:uid="{00000000-0006-0000-1C00-000001000000}">
      <text>
        <r>
          <rPr>
            <i/>
            <sz val="12"/>
            <color rgb="FF7F7F7F"/>
            <rFont val="Calibri"/>
            <family val="2"/>
          </rPr>
          <t>Sam: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>This is the calibration year and uses baseline coverage.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D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Programs whose coverage cannot fall below baseline %</t>
        </r>
      </text>
    </comment>
  </commentList>
</comments>
</file>

<file path=xl/sharedStrings.xml><?xml version="1.0" encoding="utf-8"?>
<sst xmlns="http://schemas.openxmlformats.org/spreadsheetml/2006/main" count="1425" uniqueCount="275">
  <si>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</si>
  <si>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</si>
  <si>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</si>
  <si>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</si>
  <si>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</si>
  <si>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</si>
  <si>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</si>
  <si>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</si>
  <si>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</si>
  <si>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</si>
  <si>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</si>
  <si>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</si>
  <si>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</si>
  <si>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</si>
  <si>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</si>
  <si>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</si>
  <si>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</si>
  <si>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</si>
  <si>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</si>
  <si>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</si>
  <si>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</si>
  <si>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</si>
  <si>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</si>
  <si>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</si>
  <si>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other</t>
  </si>
  <si>
    <t>moderate</t>
  </si>
  <si>
    <t>high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</si>
  <si>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</si>
  <si>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</si>
  <si>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</si>
  <si>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</si>
  <si>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</si>
  <si>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</si>
  <si>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</si>
  <si>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</si>
  <si>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</si>
  <si>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</si>
  <si>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</si>
  <si>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</si>
  <si>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</si>
  <si>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</si>
  <si>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</si>
  <si>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</si>
  <si>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</si>
  <si>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</si>
  <si>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</si>
  <si>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</si>
  <si>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</si>
  <si>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</si>
  <si>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</si>
  <si>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</si>
  <si>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</si>
  <si>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</si>
  <si>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</si>
  <si>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</si>
  <si>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</si>
  <si>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</si>
  <si>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Indicator</t>
  </si>
  <si>
    <t>Current year</t>
  </si>
  <si>
    <t>children under 5</t>
  </si>
  <si>
    <t>total WRA</t>
  </si>
  <si>
    <t>Stunting progression</t>
  </si>
  <si>
    <t>Effectiveness mortality</t>
  </si>
  <si>
    <t>Effectiveness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</si>
  <si>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</si>
  <si>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</si>
  <si>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</si>
  <si>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</si>
  <si>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</si>
  <si>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</si>
  <si>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</si>
  <si>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Children</t>
  </si>
  <si>
    <t>Pregnant women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</si>
  <si>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</si>
  <si>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</si>
  <si>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</si>
  <si>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</si>
  <si>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</si>
  <si>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</si>
  <si>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</si>
  <si>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</si>
  <si>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</si>
  <si>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</si>
  <si>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</si>
  <si>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</si>
  <si>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</si>
  <si>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</si>
  <si>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</si>
  <si>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</si>
  <si>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</si>
  <si>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</si>
  <si>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</si>
  <si>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</si>
  <si>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</si>
  <si>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All</t>
  </si>
  <si>
    <t>Population data</t>
  </si>
  <si>
    <t>Values</t>
  </si>
  <si>
    <t>Data field</t>
  </si>
  <si>
    <t>Affected fraction</t>
  </si>
  <si>
    <t>Age distribution pregnant</t>
  </si>
  <si>
    <t>Complementary feeding (food insecure with promotion and supplementation) with iron</t>
  </si>
  <si>
    <t>Women of reproductive age</t>
  </si>
  <si>
    <t>total population</t>
  </si>
  <si>
    <t>abortion</t>
  </si>
  <si>
    <t>stillbirth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</si>
  <si>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</si>
  <si>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</si>
  <si>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</si>
  <si>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</si>
  <si>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</si>
  <si>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</si>
  <si>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</si>
  <si>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</si>
  <si>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</si>
  <si>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</si>
  <si>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</si>
  <si>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</si>
  <si>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</si>
  <si>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</si>
  <si>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</si>
  <si>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</si>
  <si>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</si>
  <si>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</si>
  <si>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</si>
  <si>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</si>
  <si>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</si>
  <si>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</si>
  <si>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</si>
  <si>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</si>
  <si>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</si>
  <si>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</si>
  <si>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</si>
  <si>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</si>
  <si>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</si>
  <si>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</si>
  <si>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</si>
  <si>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</si>
  <si>
    <t>saturation coverage</t>
  </si>
  <si>
    <t>unit cost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</si>
  <si>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</si>
  <si>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</si>
  <si>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</si>
  <si>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</si>
  <si>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</si>
  <si>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</si>
  <si>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OR SAM by condition</t>
  </si>
  <si>
    <t>OR MAM by condition</t>
  </si>
  <si>
    <t>Treatment of MAM</t>
  </si>
  <si>
    <t>Treatment of SAM</t>
  </si>
  <si>
    <t>Health facility</t>
  </si>
  <si>
    <t>Community</t>
  </si>
  <si>
    <t>Delivery mode</t>
  </si>
  <si>
    <t>Behaviour</t>
  </si>
  <si>
    <t>OR for correct breastfeeding</t>
  </si>
  <si>
    <t>OR for correct complementary feeding</t>
  </si>
  <si>
    <t>Target population</t>
  </si>
  <si>
    <t>IYCF package</t>
  </si>
  <si>
    <t>IYCF 1</t>
  </si>
  <si>
    <t>IYCF 2</t>
  </si>
  <si>
    <t>IYCF 3</t>
  </si>
  <si>
    <t>Mass media</t>
  </si>
  <si>
    <t>x</t>
  </si>
  <si>
    <t>Condom</t>
  </si>
  <si>
    <t>Male sterilization</t>
  </si>
  <si>
    <t>Female sterilization</t>
  </si>
  <si>
    <t>Pill</t>
  </si>
  <si>
    <t>Withdrawal</t>
  </si>
  <si>
    <t>Injectable</t>
  </si>
  <si>
    <t>Implant</t>
  </si>
  <si>
    <t>Fertility awareness</t>
  </si>
  <si>
    <t>IUD</t>
  </si>
  <si>
    <t>Method</t>
  </si>
  <si>
    <t>Effectiveness</t>
  </si>
  <si>
    <t>fraction PW attending health facility</t>
  </si>
  <si>
    <t>fraction children attending health facility</t>
  </si>
  <si>
    <t>unmet need for family planning</t>
  </si>
  <si>
    <t>OR for food security groups</t>
  </si>
  <si>
    <t>Package information</t>
  </si>
  <si>
    <t>Target populations</t>
  </si>
  <si>
    <t>Unit costs</t>
  </si>
  <si>
    <t>Cost</t>
  </si>
  <si>
    <t>Family Planning</t>
  </si>
  <si>
    <t>Proportional Cost</t>
  </si>
  <si>
    <t>OR for stunting</t>
  </si>
  <si>
    <t>First birth</t>
  </si>
  <si>
    <t>less than 18 months</t>
  </si>
  <si>
    <t>18-23 months</t>
  </si>
  <si>
    <t>24 months or greater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</si>
  <si>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</si>
  <si>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</si>
  <si>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</si>
  <si>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</si>
  <si>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</si>
  <si>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</si>
  <si>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</si>
  <si>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</si>
  <si>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</si>
  <si>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</si>
  <si>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Birth age order</t>
  </si>
  <si>
    <t>Fraction</t>
  </si>
  <si>
    <t>Label</t>
  </si>
  <si>
    <t>Index</t>
  </si>
  <si>
    <t>RR age order</t>
  </si>
  <si>
    <t>RR interval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</si>
  <si>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</si>
  <si>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</si>
  <si>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</si>
  <si>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</si>
  <si>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</si>
  <si>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</si>
  <si>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Calcium supplementation</t>
  </si>
  <si>
    <t>Mg for pre-eclampsia</t>
  </si>
  <si>
    <t>Mg for eclampsia</t>
  </si>
  <si>
    <t>Zinc for treatment + ORS</t>
  </si>
  <si>
    <t>Non-pregnant women population</t>
  </si>
  <si>
    <t>PW population</t>
  </si>
  <si>
    <t>Anaemia</t>
  </si>
  <si>
    <t>Neonatal diarrhoea</t>
  </si>
  <si>
    <t>Diarrhoea</t>
  </si>
  <si>
    <t>Severe diarrhoea</t>
  </si>
  <si>
    <t>Anaemia type</t>
  </si>
  <si>
    <t>not anaemic</t>
  </si>
  <si>
    <t>anaemic</t>
  </si>
  <si>
    <t>Prevalence of all anaemia</t>
  </si>
  <si>
    <t>Prevalence of iron deficiency anaemia</t>
  </si>
  <si>
    <t>Fraction anaemia that is severe</t>
  </si>
  <si>
    <t>OR for condition</t>
  </si>
  <si>
    <t>Child diarrhoea</t>
  </si>
  <si>
    <t>Diarrhoea incidence</t>
  </si>
  <si>
    <t>Condition or program</t>
  </si>
  <si>
    <t>OR stunting progression</t>
  </si>
  <si>
    <t>OR stunting by condition</t>
  </si>
  <si>
    <t>OR stunting by program</t>
  </si>
  <si>
    <t>OR for correct breastfeeding by program</t>
  </si>
  <si>
    <t>OR anaemia by condition</t>
  </si>
  <si>
    <t>Age</t>
  </si>
  <si>
    <t>Practice</t>
  </si>
  <si>
    <t>Program</t>
  </si>
  <si>
    <t>Relative risks</t>
  </si>
  <si>
    <t>Odds ratios</t>
  </si>
  <si>
    <t>Birth age program</t>
  </si>
  <si>
    <t>Exclusion dependency</t>
  </si>
  <si>
    <t>Threshold dependency</t>
  </si>
  <si>
    <t>Public provision of complementary foods with iron, Public provision of complementary foods with iron (malaria area)</t>
  </si>
  <si>
    <t>Wasting prevention</t>
  </si>
  <si>
    <t>Wasting treatment</t>
  </si>
  <si>
    <t>Mortality</t>
  </si>
  <si>
    <t>Birth outcomes</t>
  </si>
  <si>
    <t>Family planning</t>
  </si>
  <si>
    <t>Birth age</t>
  </si>
  <si>
    <t>Age group</t>
  </si>
  <si>
    <t>baseline coverage</t>
  </si>
  <si>
    <t>Calculated in model</t>
  </si>
  <si>
    <t>Field</t>
  </si>
  <si>
    <t>Spending</t>
  </si>
  <si>
    <t>Coverage</t>
  </si>
  <si>
    <t>Include in analysis</t>
  </si>
  <si>
    <t>-</t>
  </si>
  <si>
    <t>fraction MAM to SAM</t>
  </si>
  <si>
    <t>fraction SAM to MAM</t>
  </si>
  <si>
    <t>fraction severe diarrhoea</t>
  </si>
  <si>
    <t>OR SAM by program</t>
  </si>
  <si>
    <t>OR MAM by program</t>
  </si>
  <si>
    <t>severe maternal anemia</t>
  </si>
  <si>
    <t>stunting</t>
  </si>
  <si>
    <t>RR of death by cause</t>
  </si>
  <si>
    <t>Risk</t>
  </si>
  <si>
    <t>maternal mortality</t>
  </si>
  <si>
    <t>neonatal</t>
  </si>
  <si>
    <t>infant</t>
  </si>
  <si>
    <t>under 5</t>
  </si>
  <si>
    <t>Value</t>
  </si>
  <si>
    <t>Current expenditure</t>
  </si>
  <si>
    <t>Available budget</t>
  </si>
  <si>
    <t>Kangaroo mother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</si>
</sst>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000"/>
  </numFmts>
  <fonts count="3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Cambria"/>
      <family val="1"/>
    </font>
    <font>
      <sz val="11"/>
      <color rgb="FF000000"/>
      <name val="Arial"/>
      <family val="2"/>
    </font>
    <font>
      <sz val="10"/>
      <color rgb="FF000000"/>
      <name val="Tahom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1"/>
      <name val="Arial"/>
      <family val="2"/>
    </font>
    <font>
      <i/>
      <sz val="12"/>
      <color rgb="FF7F7F7F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DAEEF3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40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</cellStyleXfs>
  <cellXfs count="16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" fontId="3" fillId="0" borderId="0" xfId="0" applyNumberFormat="1" applyFont="1"/>
    <xf numFmtId="0" fontId="12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2" fillId="2" borderId="1" xfId="0" applyFont="1" applyFill="1" applyBorder="1" applyAlignment="1"/>
    <xf numFmtId="164" fontId="0" fillId="2" borderId="1" xfId="0" applyNumberFormat="1" applyFont="1" applyFill="1" applyBorder="1" applyAlignment="1"/>
    <xf numFmtId="0" fontId="0" fillId="3" borderId="0" xfId="0" applyFont="1" applyFill="1" applyAlignment="1"/>
    <xf numFmtId="2" fontId="3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2" fillId="2" borderId="1" xfId="10" applyNumberFormat="1" applyFont="1" applyFill="1" applyBorder="1" applyAlignment="1"/>
    <xf numFmtId="165" fontId="12" fillId="2" borderId="1" xfId="0" applyNumberFormat="1" applyFont="1" applyFill="1" applyBorder="1" applyAlignment="1"/>
    <xf numFmtId="0" fontId="0" fillId="5" borderId="0" xfId="0" applyFont="1" applyFill="1" applyAlignment="1"/>
    <xf numFmtId="4" fontId="3" fillId="0" borderId="0" xfId="0" applyNumberFormat="1" applyFont="1" applyAlignment="1"/>
    <xf numFmtId="164" fontId="12" fillId="0" borderId="0" xfId="10" applyNumberFormat="1" applyFont="1" applyFill="1" applyBorder="1" applyAlignment="1"/>
    <xf numFmtId="164" fontId="12" fillId="2" borderId="1" xfId="9" applyNumberFormat="1" applyFont="1" applyFill="1" applyBorder="1" applyAlignment="1"/>
    <xf numFmtId="165" fontId="0" fillId="0" borderId="0" xfId="0" applyNumberFormat="1" applyFont="1" applyAlignment="1"/>
    <xf numFmtId="165" fontId="0" fillId="4" borderId="0" xfId="0" applyNumberFormat="1" applyFont="1" applyFill="1" applyAlignment="1"/>
    <xf numFmtId="1" fontId="3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3" fillId="6" borderId="0" xfId="0" applyFont="1" applyFill="1" applyAlignment="1"/>
    <xf numFmtId="0" fontId="3" fillId="6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2" fontId="0" fillId="0" borderId="0" xfId="0" applyNumberFormat="1" applyFont="1" applyAlignment="1"/>
    <xf numFmtId="0" fontId="12" fillId="0" borderId="0" xfId="0" applyFont="1" applyFill="1" applyAlignment="1"/>
    <xf numFmtId="2" fontId="0" fillId="0" borderId="0" xfId="0" applyNumberFormat="1" applyFont="1" applyFill="1" applyAlignment="1"/>
    <xf numFmtId="0" fontId="3" fillId="7" borderId="0" xfId="0" applyFont="1" applyFill="1" applyAlignment="1"/>
    <xf numFmtId="0" fontId="12" fillId="7" borderId="0" xfId="0" applyFont="1" applyFill="1" applyAlignment="1"/>
    <xf numFmtId="0" fontId="12" fillId="0" borderId="0" xfId="0" applyFont="1" applyFill="1" applyAlignment="1">
      <alignment horizontal="center" vertical="center"/>
    </xf>
    <xf numFmtId="2" fontId="0" fillId="4" borderId="0" xfId="0" applyNumberFormat="1" applyFont="1" applyFill="1" applyAlignment="1"/>
    <xf numFmtId="0" fontId="16" fillId="0" borderId="0" xfId="0" applyFont="1" applyAlignment="1"/>
    <xf numFmtId="0" fontId="17" fillId="0" borderId="0" xfId="0" applyFont="1" applyAlignment="1"/>
    <xf numFmtId="0" fontId="17" fillId="0" borderId="0" xfId="0" applyNumberFormat="1" applyFont="1" applyAlignment="1"/>
    <xf numFmtId="0" fontId="12" fillId="6" borderId="0" xfId="0" applyFont="1" applyFill="1" applyAlignment="1"/>
    <xf numFmtId="0" fontId="3" fillId="9" borderId="0" xfId="0" applyFont="1" applyFill="1" applyAlignment="1"/>
    <xf numFmtId="0" fontId="0" fillId="0" borderId="0" xfId="0" applyNumberFormat="1" applyFont="1" applyFill="1" applyAlignment="1"/>
    <xf numFmtId="0" fontId="16" fillId="0" borderId="0" xfId="0" applyFont="1" applyFill="1" applyBorder="1" applyAlignment="1"/>
    <xf numFmtId="2" fontId="0" fillId="6" borderId="0" xfId="0" applyNumberFormat="1" applyFont="1" applyFill="1" applyAlignment="1"/>
    <xf numFmtId="0" fontId="12" fillId="0" borderId="2" xfId="0" applyFont="1" applyBorder="1" applyAlignment="1"/>
    <xf numFmtId="0" fontId="0" fillId="0" borderId="3" xfId="0" applyFont="1" applyBorder="1" applyAlignment="1"/>
    <xf numFmtId="0" fontId="0" fillId="8" borderId="4" xfId="0" applyFont="1" applyFill="1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8" borderId="6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8" borderId="8" xfId="0" applyFont="1" applyFill="1" applyBorder="1" applyAlignment="1"/>
    <xf numFmtId="0" fontId="0" fillId="0" borderId="9" xfId="0" applyFont="1" applyBorder="1" applyAlignment="1"/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11" borderId="0" xfId="0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 wrapText="1"/>
    </xf>
    <xf numFmtId="0" fontId="0" fillId="0" borderId="0" xfId="0" applyNumberFormat="1" applyFont="1" applyAlignment="1"/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right" vertical="center" wrapText="1"/>
    </xf>
    <xf numFmtId="0" fontId="12" fillId="0" borderId="0" xfId="0" applyFont="1" applyAlignment="1">
      <alignment wrapText="1"/>
    </xf>
    <xf numFmtId="0" fontId="3" fillId="10" borderId="0" xfId="0" applyFont="1" applyFill="1" applyBorder="1" applyAlignment="1">
      <alignment horizontal="right" wrapText="1"/>
    </xf>
    <xf numFmtId="0" fontId="3" fillId="7" borderId="0" xfId="0" applyFont="1" applyFill="1" applyBorder="1" applyAlignment="1">
      <alignment horizontal="right" wrapText="1"/>
    </xf>
    <xf numFmtId="0" fontId="3" fillId="11" borderId="0" xfId="0" applyFont="1" applyFill="1" applyBorder="1" applyAlignment="1">
      <alignment horizontal="right" wrapText="1"/>
    </xf>
    <xf numFmtId="0" fontId="12" fillId="0" borderId="0" xfId="0" applyFont="1" applyBorder="1" applyAlignment="1"/>
    <xf numFmtId="0" fontId="2" fillId="0" borderId="0" xfId="0" applyFont="1" applyFill="1" applyBorder="1" applyAlignment="1">
      <alignment horizontal="right" wrapText="1"/>
    </xf>
    <xf numFmtId="4" fontId="3" fillId="0" borderId="0" xfId="0" applyNumberFormat="1" applyFont="1" applyFill="1" applyBorder="1"/>
    <xf numFmtId="0" fontId="3" fillId="0" borderId="0" xfId="0" applyFont="1" applyFill="1" applyAlignment="1">
      <alignment horizontal="right"/>
    </xf>
    <xf numFmtId="0" fontId="0" fillId="0" borderId="0" xfId="0" applyFont="1" applyFill="1" applyBorder="1" applyAlignment="1"/>
    <xf numFmtId="164" fontId="0" fillId="0" borderId="0" xfId="9" applyNumberFormat="1" applyFont="1"/>
    <xf numFmtId="2" fontId="4" fillId="13" borderId="0" xfId="10" applyNumberFormat="1" applyFont="1" applyFill="1" applyAlignment="1">
      <alignment horizontal="right"/>
    </xf>
    <xf numFmtId="2" fontId="4" fillId="14" borderId="0" xfId="0" applyNumberFormat="1" applyFont="1" applyFill="1" applyAlignment="1">
      <alignment horizontal="right"/>
    </xf>
    <xf numFmtId="2" fontId="4" fillId="0" borderId="0" xfId="10" applyNumberFormat="1" applyFont="1" applyAlignment="1">
      <alignment horizontal="right"/>
    </xf>
    <xf numFmtId="2" fontId="0" fillId="15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0" fillId="16" borderId="0" xfId="10" applyNumberFormat="1" applyFont="1" applyFill="1" applyAlignment="1"/>
    <xf numFmtId="167" fontId="0" fillId="0" borderId="0" xfId="0" applyNumberFormat="1" applyFont="1" applyAlignment="1">
      <alignment horizontal="right"/>
    </xf>
    <xf numFmtId="0" fontId="4" fillId="0" borderId="0" xfId="0" applyFont="1" applyAlignment="1"/>
    <xf numFmtId="0" fontId="1" fillId="0" borderId="0" xfId="0" applyFont="1"/>
    <xf numFmtId="43" fontId="0" fillId="0" borderId="0" xfId="0" applyNumberFormat="1" applyFont="1" applyAlignment="1"/>
    <xf numFmtId="164" fontId="0" fillId="0" borderId="0" xfId="0" applyNumberFormat="1" applyFont="1" applyAlignment="1"/>
    <xf numFmtId="164" fontId="4" fillId="0" borderId="0" xfId="10" applyNumberFormat="1" applyFont="1" applyFill="1" applyBorder="1" applyAlignment="1"/>
    <xf numFmtId="0" fontId="12" fillId="0" borderId="0" xfId="0" applyFont="1" applyFill="1" applyBorder="1" applyAlignment="1"/>
    <xf numFmtId="0" fontId="4" fillId="2" borderId="1" xfId="0" applyFont="1" applyFill="1" applyBorder="1" applyAlignment="1"/>
    <xf numFmtId="0" fontId="12" fillId="0" borderId="0" xfId="0" applyFont="1" applyAlignment="1">
      <alignment horizontal="center" vertical="center"/>
    </xf>
    <xf numFmtId="10" fontId="0" fillId="0" borderId="0" xfId="0" applyNumberFormat="1" applyFont="1" applyAlignment="1"/>
    <xf numFmtId="9" fontId="12" fillId="2" borderId="1" xfId="10" applyNumberFormat="1" applyFont="1" applyFill="1" applyBorder="1" applyAlignment="1"/>
    <xf numFmtId="10" fontId="4" fillId="4" borderId="1" xfId="0" applyNumberFormat="1" applyFont="1" applyFill="1" applyBorder="1" applyAlignment="1"/>
    <xf numFmtId="9" fontId="4" fillId="2" borderId="1" xfId="0" applyNumberFormat="1" applyFont="1" applyFill="1" applyBorder="1" applyAlignment="1"/>
    <xf numFmtId="166" fontId="4" fillId="2" borderId="1" xfId="0" applyNumberFormat="1" applyFont="1" applyFill="1" applyBorder="1" applyAlignment="1"/>
    <xf numFmtId="10" fontId="4" fillId="2" borderId="1" xfId="10" applyNumberFormat="1" applyFont="1" applyFill="1" applyBorder="1" applyAlignment="1"/>
    <xf numFmtId="165" fontId="4" fillId="2" borderId="1" xfId="0" applyNumberFormat="1" applyFont="1" applyFill="1" applyBorder="1" applyAlignment="1"/>
    <xf numFmtId="165" fontId="4" fillId="4" borderId="1" xfId="0" applyNumberFormat="1" applyFont="1" applyFill="1" applyBorder="1" applyAlignment="1"/>
    <xf numFmtId="166" fontId="0" fillId="0" borderId="0" xfId="0" applyNumberFormat="1" applyFont="1" applyAlignment="1"/>
    <xf numFmtId="1" fontId="0" fillId="0" borderId="0" xfId="0" applyNumberFormat="1" applyFont="1" applyFill="1" applyAlignment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28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0" fillId="0" borderId="0" xfId="0" applyNumberFormat="1" applyFont="1" applyAlignment="1"/>
    <xf numFmtId="1" fontId="28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17" borderId="0" xfId="0" applyFont="1" applyFill="1" applyAlignment="1"/>
    <xf numFmtId="0" fontId="29" fillId="18" borderId="1" xfId="0" applyFont="1" applyFill="1" applyBorder="1" applyAlignment="1"/>
    <xf numFmtId="0" fontId="26" fillId="12" borderId="1" xfId="0" applyFont="1" applyFill="1" applyBorder="1" applyAlignment="1"/>
    <xf numFmtId="0" fontId="27" fillId="2" borderId="1" xfId="0" applyFont="1" applyFill="1" applyBorder="1" applyAlignment="1"/>
    <xf numFmtId="0" fontId="30" fillId="0" borderId="1" xfId="0" applyFont="1" applyFill="1" applyBorder="1" applyAlignment="1"/>
    <xf numFmtId="0" fontId="30" fillId="0" borderId="1" xfId="0" applyNumberFormat="1" applyFont="1" applyFill="1" applyBorder="1" applyAlignment="1"/>
    <xf numFmtId="0" fontId="27" fillId="12" borderId="1" xfId="0" applyFont="1" applyFill="1" applyBorder="1" applyAlignment="1"/>
    <xf numFmtId="0" fontId="26" fillId="2" borderId="1" xfId="0" applyFont="1" applyFill="1" applyBorder="1" applyAlignment="1"/>
    <xf numFmtId="0" fontId="31" fillId="12" borderId="1" xfId="0" applyFont="1" applyFill="1" applyBorder="1" applyAlignment="1"/>
    <xf numFmtId="0" fontId="26" fillId="2" borderId="1" xfId="0" applyNumberFormat="1" applyFont="1" applyFill="1" applyBorder="1" applyAlignment="1"/>
    <xf numFmtId="1" fontId="12" fillId="0" borderId="0" xfId="0" applyNumberFormat="1" applyFont="1" applyAlignment="1"/>
    <xf numFmtId="0" fontId="4" fillId="0" borderId="0" xfId="0" applyFont="1" applyFill="1" applyBorder="1" applyAlignment="1"/>
    <xf numFmtId="0" fontId="12" fillId="5" borderId="1" xfId="0" applyFont="1" applyFill="1" applyBorder="1" applyAlignment="1"/>
    <xf numFmtId="164" fontId="12" fillId="5" borderId="1" xfId="10" applyNumberFormat="1" applyFont="1" applyFill="1" applyBorder="1" applyAlignment="1"/>
    <xf numFmtId="167" fontId="12" fillId="5" borderId="1" xfId="10" applyNumberFormat="1" applyFont="1" applyFill="1" applyBorder="1" applyAlignment="1"/>
    <xf numFmtId="3" fontId="12" fillId="2" borderId="1" xfId="0" applyNumberFormat="1" applyFont="1" applyFill="1" applyBorder="1" applyAlignment="1"/>
    <xf numFmtId="3" fontId="12" fillId="5" borderId="1" xfId="9" applyNumberFormat="1" applyFont="1" applyFill="1" applyBorder="1" applyAlignment="1"/>
    <xf numFmtId="164" fontId="0" fillId="5" borderId="1" xfId="0" applyNumberFormat="1" applyFont="1" applyFill="1" applyBorder="1" applyAlignment="1"/>
    <xf numFmtId="164" fontId="13" fillId="5" borderId="1" xfId="0" applyNumberFormat="1" applyFont="1" applyFill="1" applyBorder="1" applyAlignment="1"/>
    <xf numFmtId="164" fontId="13" fillId="5" borderId="1" xfId="9" applyNumberFormat="1" applyFont="1" applyFill="1" applyBorder="1" applyAlignment="1"/>
    <xf numFmtId="10" fontId="13" fillId="5" borderId="1" xfId="10" applyNumberFormat="1" applyFont="1" applyFill="1" applyBorder="1" applyAlignment="1"/>
    <xf numFmtId="0" fontId="13" fillId="0" borderId="0" xfId="0" applyFont="1" applyFill="1" applyBorder="1" applyAlignment="1"/>
    <xf numFmtId="0" fontId="2" fillId="0" borderId="0" xfId="0" applyFont="1" applyFill="1" applyBorder="1" applyAlignment="1"/>
    <xf numFmtId="0" fontId="26" fillId="5" borderId="1" xfId="0" applyFont="1" applyFill="1" applyBorder="1" applyAlignment="1"/>
    <xf numFmtId="10" fontId="4" fillId="5" borderId="1" xfId="0" applyNumberFormat="1" applyFont="1" applyFill="1" applyBorder="1" applyAlignment="1"/>
    <xf numFmtId="0" fontId="4" fillId="5" borderId="0" xfId="0" applyFont="1" applyFill="1" applyAlignment="1"/>
    <xf numFmtId="0" fontId="0" fillId="5" borderId="1" xfId="0" applyFont="1" applyFill="1" applyBorder="1" applyAlignment="1"/>
    <xf numFmtId="0" fontId="0" fillId="5" borderId="1" xfId="0" applyNumberFormat="1" applyFont="1" applyFill="1" applyBorder="1" applyAlignment="1"/>
    <xf numFmtId="0" fontId="3" fillId="5" borderId="1" xfId="0" applyFont="1" applyFill="1" applyBorder="1" applyAlignment="1"/>
    <xf numFmtId="0" fontId="27" fillId="5" borderId="1" xfId="0" applyFont="1" applyFill="1" applyBorder="1" applyAlignment="1"/>
    <xf numFmtId="0" fontId="31" fillId="5" borderId="1" xfId="0" applyFont="1" applyFill="1" applyBorder="1" applyAlignment="1"/>
    <xf numFmtId="10" fontId="34" fillId="5" borderId="1" xfId="0" applyNumberFormat="1" applyFont="1" applyFill="1" applyBorder="1" applyAlignment="1"/>
    <xf numFmtId="10" fontId="2" fillId="2" borderId="1" xfId="0" applyNumberFormat="1" applyFont="1" applyFill="1" applyBorder="1" applyAlignment="1"/>
    <xf numFmtId="0" fontId="12" fillId="0" borderId="0" xfId="739" applyFont="1" applyAlignment="1"/>
    <xf numFmtId="0" fontId="4" fillId="0" borderId="0" xfId="739" applyFont="1" applyAlignment="1"/>
    <xf numFmtId="11" fontId="4" fillId="0" borderId="0" xfId="739" applyNumberFormat="1" applyFont="1" applyAlignment="1"/>
    <xf numFmtId="164" fontId="0" fillId="0" borderId="1" xfId="0" applyNumberFormat="1" applyBorder="1"/>
    <xf numFmtId="0" fontId="37" fillId="0" borderId="0" xfId="0" applyFont="1"/>
    <xf numFmtId="0" fontId="0" fillId="0" borderId="0" xfId="0"/>
    <xf numFmtId="0" fontId="0" fillId="4" borderId="0" xfId="0" applyFill="1"/>
    <xf numFmtId="0" fontId="0" fillId="0" borderId="0" xfId="0" applyFill="1"/>
    <xf numFmtId="0" fontId="0" fillId="5" borderId="0" xfId="0" applyFill="1"/>
    <xf numFmtId="0" fontId="12" fillId="0" borderId="0" xfId="0" applyFont="1" applyAlignment="1">
      <alignment horizontal="center" vertical="center"/>
    </xf>
  </cellXfs>
  <cellStyles count="740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  <cellStyle name="Normal 2" xfId="739" xr:uid="{5033FA48-43DE-B542-8784-322B4C649FDD}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%20Projects/Nutrition/input_spreadsheets/Master/InputForCode_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demographics"/>
      <sheetName val="Demographic projections"/>
      <sheetName val="Annual prevalence"/>
      <sheetName val="Causes of death"/>
      <sheetName val="Incidence of conditions"/>
      <sheetName val="Prevalence of anaemia"/>
      <sheetName val="Distributions"/>
      <sheetName val="Distribution births"/>
      <sheetName val="Birth outcomes &amp; risks"/>
      <sheetName val="IYCF packages"/>
      <sheetName val="IYCF cost &amp; coverage"/>
      <sheetName val="Programs to include"/>
      <sheetName val="Program dependencies"/>
      <sheetName val="Programs annual scale-up"/>
      <sheetName val="Programs annual spending"/>
      <sheetName val="Reference programs"/>
      <sheetName val="Programs cost and coverage"/>
      <sheetName val="Expenditure &amp; budget"/>
      <sheetName val="Appropriate breastfeeding"/>
      <sheetName val="IYCF package odds ratios"/>
      <sheetName val="Relative risks"/>
      <sheetName val="Odds ratios"/>
      <sheetName val="Programs birth outcomes"/>
      <sheetName val="Programs anaemia"/>
      <sheetName val="Programs wasting"/>
      <sheetName val="Programs for children"/>
      <sheetName val="Programs family planning"/>
      <sheetName val="Programs for PW"/>
      <sheetName val="Programs birth age"/>
      <sheetName val="Programs target population"/>
      <sheetName val="Programs impacted population"/>
      <sheetName val="Program risk areas"/>
      <sheetName val="Population risk areas"/>
    </sheetNames>
    <sheetDataSet>
      <sheetData sheetId="0">
        <row r="5">
          <cell r="C5">
            <v>3677298.8269880489</v>
          </cell>
        </row>
        <row r="6">
          <cell r="C6">
            <v>0.35199999999999998</v>
          </cell>
        </row>
        <row r="7">
          <cell r="C7">
            <v>0.36</v>
          </cell>
        </row>
        <row r="8">
          <cell r="C8">
            <v>0.1</v>
          </cell>
        </row>
        <row r="11">
          <cell r="C11">
            <v>0.1</v>
          </cell>
        </row>
        <row r="26">
          <cell r="C26">
            <v>0.8</v>
          </cell>
        </row>
        <row r="27">
          <cell r="C27">
            <v>0.12</v>
          </cell>
        </row>
        <row r="28">
          <cell r="C28">
            <v>0.05</v>
          </cell>
        </row>
        <row r="32">
          <cell r="C32">
            <v>8634000</v>
          </cell>
        </row>
        <row r="33">
          <cell r="C33">
            <v>13550000</v>
          </cell>
        </row>
        <row r="34">
          <cell r="C34">
            <v>12394000</v>
          </cell>
        </row>
        <row r="35">
          <cell r="C35">
            <v>9148000</v>
          </cell>
        </row>
        <row r="38">
          <cell r="C38">
            <v>7531583.5695012193</v>
          </cell>
        </row>
        <row r="39">
          <cell r="C39">
            <v>11617337.925466225</v>
          </cell>
        </row>
        <row r="40">
          <cell r="C40">
            <v>11797902.113393042</v>
          </cell>
        </row>
        <row r="41">
          <cell r="C41">
            <v>9101877.564651465</v>
          </cell>
        </row>
        <row r="44">
          <cell r="C44">
            <v>1102416.4304987811</v>
          </cell>
        </row>
        <row r="45">
          <cell r="C45">
            <v>1932662.074533775</v>
          </cell>
        </row>
        <row r="46">
          <cell r="C46">
            <v>596097.88660695858</v>
          </cell>
        </row>
        <row r="47">
          <cell r="C47">
            <v>46122.435348534098</v>
          </cell>
        </row>
        <row r="50">
          <cell r="C50">
            <v>0.29978973218277538</v>
          </cell>
        </row>
        <row r="51">
          <cell r="C51">
            <v>0.52556568434139284</v>
          </cell>
        </row>
        <row r="52">
          <cell r="C52">
            <v>0.16210210664201097</v>
          </cell>
        </row>
        <row r="53">
          <cell r="C53">
            <v>1.2542476833820825E-2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6">
          <cell r="B6">
            <v>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09C9-58BD-EE44-A422-4C95E135D106}">
  <sheetPr>
    <tabColor theme="7" tint="-0.249977111117893"/>
  </sheetPr>
  <dimension ref="A1:B3"/>
  <sheetViews>
    <sheetView workbookViewId="0">
      <selection activeCell="B2" sqref="B2"/>
    </sheetView>
  </sheetViews>
  <sheetFormatPr baseColWidth="10" defaultRowHeight="13" x14ac:dyDescent="0.15"/>
  <cols>
    <col min="1" max="1" width="17.5" style="151" bestFit="1" customWidth="1"/>
    <col min="2" max="2" width="14.83203125" style="151" bestFit="1" customWidth="1"/>
    <col min="3" max="16384" width="10.83203125" style="151"/>
  </cols>
  <sheetData>
    <row r="1" spans="1:2" x14ac:dyDescent="0.15">
      <c r="A1" s="150" t="s">
        <v>253</v>
      </c>
      <c r="B1" s="150" t="s">
        <v>271</v>
      </c>
    </row>
    <row r="2" spans="1:2" x14ac:dyDescent="0.15">
      <c r="A2" s="150" t="s">
        <v>272</v>
      </c>
      <c r="B2" s="153">
        <v>233815.43454545454</v>
      </c>
    </row>
    <row r="3" spans="1:2" x14ac:dyDescent="0.15">
      <c r="A3" s="150" t="s">
        <v>273</v>
      </c>
      <c r="B3" s="15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opLeftCell="A5" workbookViewId="0">
      <selection activeCell="C52" sqref="C52:C55"/>
    </sheetView>
  </sheetViews>
  <sheetFormatPr baseColWidth="10" defaultColWidth="14.5" defaultRowHeight="15.75" customHeight="1" x14ac:dyDescent="0.15"/>
  <cols>
    <col min="1" max="1" width="22.6640625" customWidth="1"/>
    <col min="2" max="2" width="27.6640625" customWidth="1"/>
  </cols>
  <sheetData>
    <row r="1" spans="1:3" ht="16" customHeight="1" x14ac:dyDescent="0.15">
      <c r="A1" s="10" t="s">
        <v>95</v>
      </c>
      <c r="B1" s="10" t="s">
        <v>57</v>
      </c>
      <c r="C1" s="10" t="s">
        <v>96</v>
      </c>
    </row>
    <row r="2" spans="1:3" ht="15.75" customHeight="1" x14ac:dyDescent="0.15">
      <c r="A2" s="1" t="s">
        <v>58</v>
      </c>
      <c r="B2" s="89" t="s">
        <v>0</v>
      </c>
      <c r="C2" s="13">
        <v>2017</v>
      </c>
    </row>
    <row r="3" spans="1:3" ht="15.75" customHeight="1" x14ac:dyDescent="0.15">
      <c r="B3" s="4" t="s">
        <v>1</v>
      </c>
      <c r="C3" s="132">
        <v>223120.83051140129</v>
      </c>
    </row>
    <row r="4" spans="1:3" ht="15.75" customHeight="1" x14ac:dyDescent="0.15">
      <c r="B4" s="4" t="s">
        <v>3</v>
      </c>
      <c r="C4" s="132">
        <v>49393.276530642324</v>
      </c>
    </row>
    <row r="5" spans="1:3" ht="15.75" customHeight="1" x14ac:dyDescent="0.15">
      <c r="B5" s="18" t="s">
        <v>102</v>
      </c>
      <c r="C5" s="133" t="s">
        <v>257</v>
      </c>
    </row>
    <row r="6" spans="1:3" ht="15.75" customHeight="1" x14ac:dyDescent="0.15">
      <c r="B6" s="4" t="s">
        <v>4</v>
      </c>
      <c r="C6" s="132">
        <v>58075.946423114336</v>
      </c>
    </row>
    <row r="7" spans="1:3" ht="15.75" customHeight="1" x14ac:dyDescent="0.15">
      <c r="B7" s="18" t="s">
        <v>65</v>
      </c>
      <c r="C7" s="95">
        <v>0.13500000000000001</v>
      </c>
    </row>
    <row r="8" spans="1:3" ht="15.75" customHeight="1" x14ac:dyDescent="0.15">
      <c r="B8" s="4" t="s">
        <v>64</v>
      </c>
      <c r="C8" s="13">
        <v>0.40000000596046448</v>
      </c>
    </row>
    <row r="9" spans="1:3" ht="15.75" customHeight="1" x14ac:dyDescent="0.15">
      <c r="B9" s="18" t="s">
        <v>66</v>
      </c>
      <c r="C9" s="13">
        <v>1</v>
      </c>
    </row>
    <row r="10" spans="1:3" ht="15.75" customHeight="1" x14ac:dyDescent="0.15">
      <c r="B10" s="4" t="s">
        <v>173</v>
      </c>
      <c r="C10" s="22">
        <v>0.62808235294117642</v>
      </c>
    </row>
    <row r="11" spans="1:3" ht="15.75" customHeight="1" x14ac:dyDescent="0.15">
      <c r="B11" s="4" t="s">
        <v>174</v>
      </c>
      <c r="C11" s="22">
        <v>0.50329411764705889</v>
      </c>
    </row>
    <row r="12" spans="1:3" ht="15.75" customHeight="1" x14ac:dyDescent="0.15">
      <c r="B12" s="4" t="s">
        <v>175</v>
      </c>
      <c r="C12" s="22"/>
    </row>
    <row r="13" spans="1:3" ht="13" x14ac:dyDescent="0.15">
      <c r="B13" t="s">
        <v>258</v>
      </c>
      <c r="C13" s="23">
        <v>0.9</v>
      </c>
    </row>
    <row r="14" spans="1:3" ht="13" x14ac:dyDescent="0.15">
      <c r="B14" t="s">
        <v>259</v>
      </c>
      <c r="C14" s="23">
        <v>0.1</v>
      </c>
    </row>
    <row r="15" spans="1:3" ht="13" x14ac:dyDescent="0.15">
      <c r="B15" s="4" t="s">
        <v>260</v>
      </c>
      <c r="C15" s="47">
        <v>0.2</v>
      </c>
    </row>
    <row r="16" spans="1:3" ht="15.75" customHeight="1" x14ac:dyDescent="0.15">
      <c r="B16" s="4"/>
      <c r="C16" s="128"/>
    </row>
    <row r="17" spans="1:3" ht="15.75" customHeight="1" x14ac:dyDescent="0.15">
      <c r="B17" s="18"/>
    </row>
    <row r="18" spans="1:3" ht="15.75" customHeight="1" x14ac:dyDescent="0.15">
      <c r="A18" s="10" t="s">
        <v>105</v>
      </c>
      <c r="B18" s="10"/>
      <c r="C18" s="1"/>
    </row>
    <row r="19" spans="1:3" ht="15.75" customHeight="1" x14ac:dyDescent="0.15">
      <c r="B19" s="89" t="s">
        <v>267</v>
      </c>
      <c r="C19" s="13">
        <v>6.7514285714285718</v>
      </c>
    </row>
    <row r="20" spans="1:3" ht="15.75" customHeight="1" x14ac:dyDescent="0.15">
      <c r="B20" s="11" t="s">
        <v>103</v>
      </c>
      <c r="C20" s="129" t="s">
        <v>257</v>
      </c>
    </row>
    <row r="21" spans="1:3" ht="15.75" customHeight="1" x14ac:dyDescent="0.15">
      <c r="B21" s="11" t="s">
        <v>104</v>
      </c>
      <c r="C21" s="129" t="s">
        <v>257</v>
      </c>
    </row>
    <row r="22" spans="1:3" ht="15.75" customHeight="1" x14ac:dyDescent="0.15">
      <c r="B22" s="89" t="s">
        <v>268</v>
      </c>
      <c r="C22" s="13">
        <v>47</v>
      </c>
    </row>
    <row r="23" spans="1:3" ht="15.75" customHeight="1" x14ac:dyDescent="0.15">
      <c r="B23" s="89" t="s">
        <v>269</v>
      </c>
      <c r="C23" s="13">
        <v>69</v>
      </c>
    </row>
    <row r="24" spans="1:3" ht="15.75" customHeight="1" x14ac:dyDescent="0.15">
      <c r="B24" s="89" t="s">
        <v>270</v>
      </c>
      <c r="C24" s="13">
        <v>79</v>
      </c>
    </row>
    <row r="26" spans="1:3" ht="15.75" customHeight="1" x14ac:dyDescent="0.15">
      <c r="A26" s="10" t="s">
        <v>68</v>
      </c>
      <c r="B26" s="10"/>
      <c r="C26" s="1"/>
    </row>
    <row r="27" spans="1:3" ht="15.75" customHeight="1" x14ac:dyDescent="0.15">
      <c r="B27" s="18" t="s">
        <v>70</v>
      </c>
      <c r="C27" s="13"/>
    </row>
    <row r="28" spans="1:3" ht="15.75" customHeight="1" x14ac:dyDescent="0.15">
      <c r="B28" s="18" t="s">
        <v>90</v>
      </c>
      <c r="C28" s="13"/>
    </row>
    <row r="29" spans="1:3" ht="15.75" customHeight="1" x14ac:dyDescent="0.15">
      <c r="B29" s="18" t="s">
        <v>91</v>
      </c>
      <c r="C29" s="13"/>
    </row>
    <row r="30" spans="1:3" ht="15.75" customHeight="1" x14ac:dyDescent="0.15">
      <c r="B30" s="18" t="s">
        <v>92</v>
      </c>
      <c r="C30" s="13">
        <v>0.88</v>
      </c>
    </row>
    <row r="31" spans="1:3" ht="15.75" customHeight="1" x14ac:dyDescent="0.15">
      <c r="B31" s="18" t="s">
        <v>69</v>
      </c>
      <c r="C31" s="13"/>
    </row>
    <row r="32" spans="1:3" ht="15.75" customHeight="1" x14ac:dyDescent="0.15">
      <c r="B32" s="18"/>
      <c r="C32" s="94"/>
    </row>
    <row r="34" spans="1:5" ht="15.75" customHeight="1" x14ac:dyDescent="0.2">
      <c r="A34" s="10" t="s">
        <v>101</v>
      </c>
      <c r="B34" s="90" t="s">
        <v>107</v>
      </c>
      <c r="C34" s="26">
        <v>66267.062973177817</v>
      </c>
      <c r="D34" s="91"/>
      <c r="E34" s="92"/>
    </row>
    <row r="35" spans="1:5" ht="15" customHeight="1" x14ac:dyDescent="0.2">
      <c r="B35" s="90" t="s">
        <v>108</v>
      </c>
      <c r="C35" s="26">
        <v>106524.03262613746</v>
      </c>
      <c r="D35" s="91"/>
      <c r="E35" s="91"/>
    </row>
    <row r="36" spans="1:5" ht="15.75" customHeight="1" x14ac:dyDescent="0.2">
      <c r="B36" s="90" t="s">
        <v>109</v>
      </c>
      <c r="C36" s="26">
        <v>75074.476632029167</v>
      </c>
      <c r="D36" s="91"/>
    </row>
    <row r="37" spans="1:5" ht="15.75" customHeight="1" x14ac:dyDescent="0.2">
      <c r="B37" s="90" t="s">
        <v>110</v>
      </c>
      <c r="C37" s="26">
        <v>46940.46618674216</v>
      </c>
      <c r="D37" s="91"/>
    </row>
    <row r="38" spans="1:5" ht="15.75" customHeight="1" x14ac:dyDescent="0.2">
      <c r="B38" s="90"/>
      <c r="C38" s="93"/>
      <c r="D38" s="91"/>
    </row>
    <row r="39" spans="1:5" ht="15.75" customHeight="1" x14ac:dyDescent="0.2">
      <c r="B39" s="90"/>
      <c r="C39" s="93"/>
      <c r="D39" s="91"/>
    </row>
    <row r="40" spans="1:5" ht="15.75" customHeight="1" x14ac:dyDescent="0.2">
      <c r="A40" s="10" t="s">
        <v>214</v>
      </c>
      <c r="B40" s="90" t="s">
        <v>107</v>
      </c>
      <c r="C40" s="130">
        <f>C34-C46</f>
        <v>58888.790665332686</v>
      </c>
      <c r="D40" s="91"/>
      <c r="E40" s="92"/>
    </row>
    <row r="41" spans="1:5" ht="15" customHeight="1" x14ac:dyDescent="0.2">
      <c r="B41" s="90" t="s">
        <v>108</v>
      </c>
      <c r="C41" s="130">
        <f t="shared" ref="C41:C43" si="0">C35-C47</f>
        <v>80252.911530022218</v>
      </c>
      <c r="D41" s="91"/>
      <c r="E41" s="91"/>
    </row>
    <row r="42" spans="1:5" ht="15.75" customHeight="1" x14ac:dyDescent="0.2">
      <c r="B42" s="90" t="s">
        <v>109</v>
      </c>
      <c r="C42" s="130">
        <f t="shared" si="0"/>
        <v>55678.563822769618</v>
      </c>
      <c r="D42" s="91"/>
    </row>
    <row r="43" spans="1:5" ht="15.75" customHeight="1" x14ac:dyDescent="0.2">
      <c r="B43" s="90" t="s">
        <v>110</v>
      </c>
      <c r="C43" s="130">
        <f t="shared" si="0"/>
        <v>41909.825976847751</v>
      </c>
      <c r="D43" s="91"/>
    </row>
    <row r="44" spans="1:5" ht="15.75" customHeight="1" x14ac:dyDescent="0.2">
      <c r="B44" s="90"/>
      <c r="C44" s="25"/>
      <c r="D44" s="91"/>
    </row>
    <row r="45" spans="1:5" ht="15" customHeight="1" x14ac:dyDescent="0.2">
      <c r="B45" s="90"/>
      <c r="C45" s="25"/>
    </row>
    <row r="46" spans="1:5" ht="15.75" customHeight="1" x14ac:dyDescent="0.2">
      <c r="A46" s="10" t="s">
        <v>215</v>
      </c>
      <c r="B46" s="90" t="s">
        <v>111</v>
      </c>
      <c r="C46" s="131">
        <f>C52*C$6</f>
        <v>7378.2723078451327</v>
      </c>
    </row>
    <row r="47" spans="1:5" ht="15.75" customHeight="1" x14ac:dyDescent="0.2">
      <c r="B47" s="90" t="s">
        <v>112</v>
      </c>
      <c r="C47" s="131">
        <f t="shared" ref="C47:C49" si="1">C53*C$6</f>
        <v>26271.121096115243</v>
      </c>
    </row>
    <row r="48" spans="1:5" ht="15.75" customHeight="1" x14ac:dyDescent="0.2">
      <c r="B48" s="90" t="s">
        <v>113</v>
      </c>
      <c r="C48" s="131">
        <f t="shared" si="1"/>
        <v>19395.912809259553</v>
      </c>
    </row>
    <row r="49" spans="1:3" ht="15.75" customHeight="1" x14ac:dyDescent="0.2">
      <c r="B49" s="90" t="s">
        <v>114</v>
      </c>
      <c r="C49" s="131">
        <f t="shared" si="1"/>
        <v>5030.6402098944081</v>
      </c>
    </row>
    <row r="52" spans="1:3" ht="15.75" customHeight="1" x14ac:dyDescent="0.2">
      <c r="A52" s="10" t="s">
        <v>99</v>
      </c>
      <c r="B52" s="90" t="s">
        <v>111</v>
      </c>
      <c r="C52" s="22">
        <v>0.12704523580365737</v>
      </c>
    </row>
    <row r="53" spans="1:3" ht="15.75" customHeight="1" x14ac:dyDescent="0.2">
      <c r="B53" s="90" t="s">
        <v>112</v>
      </c>
      <c r="C53" s="22">
        <v>0.4523580365736285</v>
      </c>
    </row>
    <row r="54" spans="1:3" ht="15.75" customHeight="1" x14ac:dyDescent="0.2">
      <c r="B54" s="90" t="s">
        <v>113</v>
      </c>
      <c r="C54" s="22">
        <v>0.33397497593840231</v>
      </c>
    </row>
    <row r="55" spans="1:3" ht="15.75" customHeight="1" x14ac:dyDescent="0.2">
      <c r="B55" s="90" t="s">
        <v>114</v>
      </c>
      <c r="C55" s="22">
        <v>8.662175168431184E-2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D2" sqref="D2:G15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 x14ac:dyDescent="0.15">
      <c r="A1" s="2" t="s">
        <v>0</v>
      </c>
      <c r="B1" s="2" t="s">
        <v>2</v>
      </c>
      <c r="C1" s="10" t="s">
        <v>59</v>
      </c>
      <c r="D1" s="10" t="s">
        <v>107</v>
      </c>
      <c r="E1" s="10" t="s">
        <v>108</v>
      </c>
      <c r="F1" s="10" t="s">
        <v>109</v>
      </c>
      <c r="G1" s="10" t="s">
        <v>110</v>
      </c>
      <c r="H1" s="10" t="s">
        <v>60</v>
      </c>
      <c r="I1" s="10" t="s">
        <v>50</v>
      </c>
      <c r="J1" s="10" t="s">
        <v>67</v>
      </c>
      <c r="K1" s="10" t="s">
        <v>79</v>
      </c>
      <c r="L1" s="10" t="s">
        <v>102</v>
      </c>
    </row>
    <row r="2" spans="1:12" ht="15.75" customHeight="1" x14ac:dyDescent="0.15">
      <c r="A2" s="3">
        <v>2017</v>
      </c>
      <c r="B2" s="80">
        <v>50347.764999999999</v>
      </c>
      <c r="C2" s="134"/>
      <c r="D2" s="14">
        <v>66267.062973177817</v>
      </c>
      <c r="E2" s="14">
        <v>106524.03262613746</v>
      </c>
      <c r="F2" s="14">
        <v>75074.476632029167</v>
      </c>
      <c r="G2" s="14">
        <v>46940.46618674216</v>
      </c>
      <c r="H2" s="135">
        <f>D2+E2+F2+G2</f>
        <v>294806.03841808659</v>
      </c>
      <c r="I2" s="136">
        <f t="shared" ref="I2:I15" si="0">(B2 + 25.36*B2/(1000-25.36))/(1-0.13)</f>
        <v>59376.789638095666</v>
      </c>
      <c r="J2" s="137">
        <f t="shared" ref="J2:J15" si="1">D2/H2</f>
        <v>0.22478190517658095</v>
      </c>
      <c r="K2" s="135">
        <f>H2-I2</f>
        <v>235429.24877999094</v>
      </c>
      <c r="L2" s="134"/>
    </row>
    <row r="3" spans="1:12" ht="15.75" customHeight="1" x14ac:dyDescent="0.15">
      <c r="A3" s="3">
        <v>2018</v>
      </c>
      <c r="B3" s="80">
        <v>51302.224999999999</v>
      </c>
      <c r="C3" s="134"/>
      <c r="D3" s="14">
        <v>69131.910506394357</v>
      </c>
      <c r="E3" s="14">
        <v>109585.58036517639</v>
      </c>
      <c r="F3" s="14">
        <v>77741.755384443677</v>
      </c>
      <c r="G3" s="14">
        <v>49265.961540936223</v>
      </c>
      <c r="H3" s="135">
        <f t="shared" ref="H3:H15" si="2">D3+E3+F3+G3</f>
        <v>305725.20779695065</v>
      </c>
      <c r="I3" s="136">
        <f t="shared" si="0"/>
        <v>60502.415981945822</v>
      </c>
      <c r="J3" s="137">
        <f t="shared" si="1"/>
        <v>0.22612433892696462</v>
      </c>
      <c r="K3" s="135">
        <f t="shared" ref="K3:K15" si="3">H3-I3</f>
        <v>245222.79181500484</v>
      </c>
      <c r="L3" s="134"/>
    </row>
    <row r="4" spans="1:12" ht="15.75" customHeight="1" x14ac:dyDescent="0.15">
      <c r="A4" s="3">
        <v>2019</v>
      </c>
      <c r="B4" s="80">
        <v>52495.3</v>
      </c>
      <c r="C4" s="134"/>
      <c r="D4" s="14">
        <v>72120.61069008823</v>
      </c>
      <c r="E4" s="14">
        <v>112735.11833822486</v>
      </c>
      <c r="F4" s="14">
        <v>80503.7983798106</v>
      </c>
      <c r="G4" s="14">
        <v>51706.665138287994</v>
      </c>
      <c r="H4" s="135">
        <f t="shared" si="2"/>
        <v>317066.19254641165</v>
      </c>
      <c r="I4" s="136">
        <f t="shared" si="0"/>
        <v>61909.448911758518</v>
      </c>
      <c r="J4" s="137">
        <f t="shared" si="1"/>
        <v>0.22746231665658057</v>
      </c>
      <c r="K4" s="135">
        <f t="shared" si="3"/>
        <v>255156.74363465313</v>
      </c>
      <c r="L4" s="134"/>
    </row>
    <row r="5" spans="1:12" ht="15.75" customHeight="1" x14ac:dyDescent="0.15">
      <c r="A5" s="3">
        <v>2020</v>
      </c>
      <c r="B5" s="80">
        <v>53449.760000000002</v>
      </c>
      <c r="C5" s="134"/>
      <c r="D5" s="14">
        <v>75238.517903105938</v>
      </c>
      <c r="E5" s="14">
        <v>115975.17542346509</v>
      </c>
      <c r="F5" s="14">
        <v>83363.972443488616</v>
      </c>
      <c r="G5" s="14">
        <v>54268.284553859936</v>
      </c>
      <c r="H5" s="135">
        <f t="shared" si="2"/>
        <v>328845.95032391953</v>
      </c>
      <c r="I5" s="136">
        <f t="shared" si="0"/>
        <v>63035.075255608681</v>
      </c>
      <c r="J5" s="137">
        <f t="shared" si="1"/>
        <v>0.22879563463985056</v>
      </c>
      <c r="K5" s="135">
        <f t="shared" si="3"/>
        <v>265810.87506831088</v>
      </c>
      <c r="L5" s="134"/>
    </row>
    <row r="6" spans="1:12" ht="15.75" customHeight="1" x14ac:dyDescent="0.15">
      <c r="A6" s="3">
        <v>2021</v>
      </c>
      <c r="B6" s="80">
        <v>54404.22</v>
      </c>
      <c r="C6" s="134"/>
      <c r="D6" s="14">
        <v>77582.948491627612</v>
      </c>
      <c r="E6" s="14">
        <v>120174.9150864836</v>
      </c>
      <c r="F6" s="14">
        <v>86058.916836744407</v>
      </c>
      <c r="G6" s="14">
        <v>56670.77238843056</v>
      </c>
      <c r="H6" s="135">
        <f t="shared" si="2"/>
        <v>340487.55280328618</v>
      </c>
      <c r="I6" s="136">
        <f t="shared" si="0"/>
        <v>64160.701599458829</v>
      </c>
      <c r="J6" s="137">
        <f t="shared" si="1"/>
        <v>0.22785839850201664</v>
      </c>
      <c r="K6" s="135">
        <f t="shared" si="3"/>
        <v>276326.85120382736</v>
      </c>
      <c r="L6" s="134"/>
    </row>
    <row r="7" spans="1:12" ht="15.75" customHeight="1" x14ac:dyDescent="0.15">
      <c r="A7" s="3">
        <v>2022</v>
      </c>
      <c r="B7" s="80">
        <v>55597.294999999998</v>
      </c>
      <c r="C7" s="134"/>
      <c r="D7" s="14">
        <v>80000.431486517453</v>
      </c>
      <c r="E7" s="14">
        <v>124526.73741006052</v>
      </c>
      <c r="F7" s="14">
        <v>88840.981901794774</v>
      </c>
      <c r="G7" s="14">
        <v>59179.619726396413</v>
      </c>
      <c r="H7" s="135">
        <f t="shared" si="2"/>
        <v>352547.77052476915</v>
      </c>
      <c r="I7" s="136">
        <f t="shared" si="0"/>
        <v>65567.734529271518</v>
      </c>
      <c r="J7" s="137">
        <f t="shared" si="1"/>
        <v>0.22692082655192061</v>
      </c>
      <c r="K7" s="135">
        <f t="shared" si="3"/>
        <v>286980.0359954976</v>
      </c>
      <c r="L7" s="134"/>
    </row>
    <row r="8" spans="1:12" ht="15.75" customHeight="1" x14ac:dyDescent="0.15">
      <c r="A8" s="3">
        <v>2023</v>
      </c>
      <c r="B8" s="80">
        <v>56790.37</v>
      </c>
      <c r="C8" s="134"/>
      <c r="D8" s="14">
        <v>82493.243199175893</v>
      </c>
      <c r="E8" s="14">
        <v>129036.14967262225</v>
      </c>
      <c r="F8" s="14">
        <v>91712.984027531784</v>
      </c>
      <c r="G8" s="14">
        <v>61799.53516348885</v>
      </c>
      <c r="H8" s="135">
        <f t="shared" si="2"/>
        <v>365041.91206281877</v>
      </c>
      <c r="I8" s="136">
        <f t="shared" si="0"/>
        <v>66974.767459084222</v>
      </c>
      <c r="J8" s="137">
        <f t="shared" si="1"/>
        <v>0.22598293640588843</v>
      </c>
      <c r="K8" s="135">
        <f t="shared" si="3"/>
        <v>298067.14460373454</v>
      </c>
      <c r="L8" s="134"/>
    </row>
    <row r="9" spans="1:12" ht="15.75" customHeight="1" x14ac:dyDescent="0.15">
      <c r="A9" s="3">
        <v>2024</v>
      </c>
      <c r="B9" s="80">
        <v>57744.83</v>
      </c>
      <c r="C9" s="134"/>
      <c r="D9" s="14">
        <v>85063.730870817308</v>
      </c>
      <c r="E9" s="14">
        <v>133708.85858437492</v>
      </c>
      <c r="F9" s="14">
        <v>94677.83064950991</v>
      </c>
      <c r="G9" s="14">
        <v>64535.435747651332</v>
      </c>
      <c r="H9" s="135">
        <f t="shared" si="2"/>
        <v>377985.85585235344</v>
      </c>
      <c r="I9" s="136">
        <f t="shared" si="0"/>
        <v>68100.39380293437</v>
      </c>
      <c r="J9" s="137">
        <f t="shared" si="1"/>
        <v>0.22504474586489392</v>
      </c>
      <c r="K9" s="135">
        <f t="shared" si="3"/>
        <v>309885.46204941906</v>
      </c>
      <c r="L9" s="134"/>
    </row>
    <row r="10" spans="1:12" ht="15.75" customHeight="1" x14ac:dyDescent="0.15">
      <c r="A10" s="3">
        <v>2025</v>
      </c>
      <c r="B10" s="80">
        <v>59176.520000000004</v>
      </c>
      <c r="C10" s="134"/>
      <c r="D10" s="14">
        <v>87714.314882641484</v>
      </c>
      <c r="E10" s="14">
        <v>138550.77750920816</v>
      </c>
      <c r="F10" s="14">
        <v>97738.523193252127</v>
      </c>
      <c r="G10" s="14">
        <v>67392.456207337455</v>
      </c>
      <c r="H10" s="135">
        <f t="shared" si="2"/>
        <v>391396.07179243921</v>
      </c>
      <c r="I10" s="136">
        <f t="shared" si="0"/>
        <v>69788.833318709614</v>
      </c>
      <c r="J10" s="137">
        <f t="shared" si="1"/>
        <v>0.22410627291414709</v>
      </c>
      <c r="K10" s="135">
        <f t="shared" si="3"/>
        <v>321607.23847372958</v>
      </c>
      <c r="L10" s="134"/>
    </row>
    <row r="11" spans="1:12" ht="15.75" customHeight="1" x14ac:dyDescent="0.15">
      <c r="A11" s="3">
        <v>2026</v>
      </c>
      <c r="B11" s="80">
        <v>60369.595000000001</v>
      </c>
      <c r="C11" s="134"/>
      <c r="D11" s="14">
        <v>90355.659248119453</v>
      </c>
      <c r="E11" s="14">
        <v>143706.78874600647</v>
      </c>
      <c r="F11" s="14">
        <v>100649.89329180453</v>
      </c>
      <c r="G11" s="14">
        <v>69884.134107640741</v>
      </c>
      <c r="H11" s="135">
        <f t="shared" si="2"/>
        <v>404596.47539357119</v>
      </c>
      <c r="I11" s="136">
        <f t="shared" si="0"/>
        <v>71195.866248522289</v>
      </c>
      <c r="J11" s="137">
        <f t="shared" si="1"/>
        <v>0.22332290255426965</v>
      </c>
      <c r="K11" s="135">
        <f t="shared" si="3"/>
        <v>333400.60914504889</v>
      </c>
      <c r="L11" s="134"/>
    </row>
    <row r="12" spans="1:12" ht="15.75" customHeight="1" x14ac:dyDescent="0.15">
      <c r="A12" s="3">
        <v>2027</v>
      </c>
      <c r="B12" s="80">
        <v>61562.670000000006</v>
      </c>
      <c r="C12" s="134"/>
      <c r="D12" s="14">
        <v>93076.542512879445</v>
      </c>
      <c r="E12" s="14">
        <v>149054.67513754524</v>
      </c>
      <c r="F12" s="14">
        <v>103647.98534577247</v>
      </c>
      <c r="G12" s="14">
        <v>72467.935950418527</v>
      </c>
      <c r="H12" s="135">
        <f t="shared" si="2"/>
        <v>418247.13894661568</v>
      </c>
      <c r="I12" s="136">
        <f t="shared" si="0"/>
        <v>72602.899178334992</v>
      </c>
      <c r="J12" s="137">
        <f t="shared" si="1"/>
        <v>0.22253957970232421</v>
      </c>
      <c r="K12" s="135">
        <f t="shared" si="3"/>
        <v>345644.23976828071</v>
      </c>
      <c r="L12" s="134"/>
    </row>
    <row r="13" spans="1:12" ht="15.75" customHeight="1" x14ac:dyDescent="0.15">
      <c r="A13" s="3">
        <v>2028</v>
      </c>
      <c r="B13" s="80">
        <v>62755.745000000003</v>
      </c>
      <c r="C13" s="134"/>
      <c r="D13" s="14">
        <v>95879.359834698582</v>
      </c>
      <c r="E13" s="14">
        <v>154601.57710173976</v>
      </c>
      <c r="F13" s="14">
        <v>106735.3825710634</v>
      </c>
      <c r="G13" s="14">
        <v>75147.267802231829</v>
      </c>
      <c r="H13" s="135">
        <f t="shared" si="2"/>
        <v>432363.58730973356</v>
      </c>
      <c r="I13" s="136">
        <f t="shared" si="0"/>
        <v>74009.932108147681</v>
      </c>
      <c r="J13" s="137">
        <f t="shared" si="1"/>
        <v>0.22175632418835772</v>
      </c>
      <c r="K13" s="135">
        <f t="shared" si="3"/>
        <v>358353.65520158585</v>
      </c>
      <c r="L13" s="134"/>
    </row>
    <row r="14" spans="1:12" ht="15.75" customHeight="1" x14ac:dyDescent="0.15">
      <c r="A14" s="3">
        <v>2029</v>
      </c>
      <c r="B14" s="80">
        <v>64187.435000000005</v>
      </c>
      <c r="C14" s="134"/>
      <c r="D14" s="14">
        <v>98766.578496827511</v>
      </c>
      <c r="E14" s="14">
        <v>160354.90077912103</v>
      </c>
      <c r="F14" s="14">
        <v>109914.74513070149</v>
      </c>
      <c r="G14" s="14">
        <v>77925.661660958824</v>
      </c>
      <c r="H14" s="135">
        <f t="shared" si="2"/>
        <v>446961.8860676089</v>
      </c>
      <c r="I14" s="136">
        <f t="shared" si="0"/>
        <v>75698.371623922925</v>
      </c>
      <c r="J14" s="137">
        <f t="shared" si="1"/>
        <v>0.22097315582270421</v>
      </c>
      <c r="K14" s="135">
        <f t="shared" si="3"/>
        <v>371263.514443686</v>
      </c>
      <c r="L14" s="134"/>
    </row>
    <row r="15" spans="1:12" ht="15.75" customHeight="1" x14ac:dyDescent="0.15">
      <c r="A15" s="3">
        <v>2030</v>
      </c>
      <c r="B15" s="80">
        <v>65380.51</v>
      </c>
      <c r="C15" s="134"/>
      <c r="D15" s="14">
        <v>101740.7400799075</v>
      </c>
      <c r="E15" s="14">
        <v>166322.32792140378</v>
      </c>
      <c r="F15" s="14">
        <v>113188.81242687714</v>
      </c>
      <c r="G15" s="14">
        <v>80806.780111809741</v>
      </c>
      <c r="H15" s="135">
        <f t="shared" si="2"/>
        <v>462058.66053999815</v>
      </c>
      <c r="I15" s="136">
        <f t="shared" si="0"/>
        <v>77105.4045537356</v>
      </c>
      <c r="J15" s="137">
        <f t="shared" si="1"/>
        <v>0.22019009439408679</v>
      </c>
      <c r="K15" s="135">
        <f t="shared" si="3"/>
        <v>384953.25598626258</v>
      </c>
      <c r="L15" s="13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workbookViewId="0">
      <selection activeCell="H26" sqref="H26"/>
    </sheetView>
  </sheetViews>
  <sheetFormatPr baseColWidth="10" defaultColWidth="11.5" defaultRowHeight="13" x14ac:dyDescent="0.15"/>
  <sheetData>
    <row r="1" spans="1:11" x14ac:dyDescent="0.15">
      <c r="A1" s="10" t="s">
        <v>266</v>
      </c>
      <c r="B1" s="10" t="s">
        <v>235</v>
      </c>
      <c r="C1" s="10">
        <v>2010</v>
      </c>
      <c r="D1" s="10">
        <v>2011</v>
      </c>
      <c r="E1" s="10">
        <v>2012</v>
      </c>
      <c r="F1" s="10">
        <v>2013</v>
      </c>
      <c r="G1" s="10">
        <v>2014</v>
      </c>
      <c r="H1" s="10">
        <v>2015</v>
      </c>
      <c r="I1" s="10">
        <v>2016</v>
      </c>
      <c r="J1" s="10">
        <v>2017</v>
      </c>
      <c r="K1" s="10">
        <v>2018</v>
      </c>
    </row>
    <row r="2" spans="1:11" x14ac:dyDescent="0.15">
      <c r="A2" s="10" t="s">
        <v>13</v>
      </c>
      <c r="B2" s="10" t="s">
        <v>6</v>
      </c>
      <c r="C2" s="97"/>
      <c r="D2" s="97"/>
      <c r="E2" s="97"/>
      <c r="F2" s="97"/>
      <c r="G2" s="97"/>
      <c r="H2" s="97"/>
      <c r="I2" s="97"/>
      <c r="J2" s="97"/>
      <c r="K2" s="97">
        <f>SUM(Distributions!$C$4:$C$5)</f>
        <v>0.14575872093023259</v>
      </c>
    </row>
    <row r="3" spans="1:11" x14ac:dyDescent="0.15">
      <c r="B3" s="10" t="s">
        <v>7</v>
      </c>
      <c r="C3" s="97"/>
      <c r="D3" s="97"/>
      <c r="E3" s="97"/>
      <c r="F3" s="97"/>
      <c r="G3" s="97"/>
      <c r="H3" s="97"/>
      <c r="I3" s="97"/>
      <c r="J3" s="97"/>
      <c r="K3" s="97">
        <f>SUM(Distributions!D$4:D$5)</f>
        <v>0.14575872093023259</v>
      </c>
    </row>
    <row r="4" spans="1:11" x14ac:dyDescent="0.15">
      <c r="B4" s="10" t="s">
        <v>8</v>
      </c>
      <c r="C4" s="97"/>
      <c r="D4" s="97"/>
      <c r="E4" s="97"/>
      <c r="F4" s="97"/>
      <c r="G4" s="97"/>
      <c r="H4" s="97"/>
      <c r="I4" s="97"/>
      <c r="J4" s="97"/>
      <c r="K4" s="97">
        <f>SUM(Distributions!E$4:E$5)</f>
        <v>0.21315843023255815</v>
      </c>
    </row>
    <row r="5" spans="1:11" x14ac:dyDescent="0.15">
      <c r="B5" s="10" t="s">
        <v>9</v>
      </c>
      <c r="C5" s="97"/>
      <c r="D5" s="97"/>
      <c r="E5" s="97"/>
      <c r="F5" s="97"/>
      <c r="G5" s="97"/>
      <c r="H5" s="97"/>
      <c r="I5" s="97"/>
      <c r="J5" s="97"/>
      <c r="K5" s="97">
        <f>SUM(Distributions!F$4:F$5)</f>
        <v>0.41700145348837214</v>
      </c>
    </row>
    <row r="6" spans="1:11" x14ac:dyDescent="0.15">
      <c r="B6" s="10" t="s">
        <v>10</v>
      </c>
      <c r="C6" s="97"/>
      <c r="D6" s="97"/>
      <c r="E6" s="97"/>
      <c r="F6" s="97"/>
      <c r="G6" s="97"/>
      <c r="H6" s="97"/>
      <c r="I6" s="97"/>
      <c r="J6" s="97"/>
      <c r="K6" s="97">
        <f>SUM(Distributions!G$4:G$5)</f>
        <v>0.43146773255813964</v>
      </c>
    </row>
    <row r="8" spans="1:11" x14ac:dyDescent="0.15">
      <c r="A8" s="10" t="s">
        <v>27</v>
      </c>
      <c r="B8" s="10" t="s">
        <v>6</v>
      </c>
      <c r="K8" s="97">
        <f>SUM(Distributions!C10:C11)</f>
        <v>9.4E-2</v>
      </c>
    </row>
    <row r="9" spans="1:11" x14ac:dyDescent="0.15">
      <c r="B9" s="10" t="s">
        <v>7</v>
      </c>
      <c r="K9" s="97">
        <f>SUM(Distributions!D10:D11)</f>
        <v>9.4E-2</v>
      </c>
    </row>
    <row r="10" spans="1:11" x14ac:dyDescent="0.15">
      <c r="B10" s="10" t="s">
        <v>8</v>
      </c>
      <c r="K10" s="97">
        <f>SUM(Distributions!E10:E11)</f>
        <v>7.1500000000000008E-2</v>
      </c>
    </row>
    <row r="11" spans="1:11" x14ac:dyDescent="0.15">
      <c r="B11" s="10" t="s">
        <v>9</v>
      </c>
      <c r="K11" s="97">
        <f>SUM(Distributions!F10:F11)</f>
        <v>5.2500000000000005E-2</v>
      </c>
    </row>
    <row r="12" spans="1:11" x14ac:dyDescent="0.15">
      <c r="B12" s="10" t="s">
        <v>10</v>
      </c>
      <c r="K12" s="97">
        <f>SUM(Distributions!G10:G11)</f>
        <v>2.9699999999999997E-2</v>
      </c>
    </row>
    <row r="14" spans="1:11" x14ac:dyDescent="0.15">
      <c r="A14" s="10" t="s">
        <v>216</v>
      </c>
      <c r="B14" s="10" t="s">
        <v>6</v>
      </c>
      <c r="K14" s="97">
        <f>'Prevalence of anaemia'!C3</f>
        <v>0.05</v>
      </c>
    </row>
    <row r="15" spans="1:11" x14ac:dyDescent="0.15">
      <c r="B15" s="10" t="s">
        <v>7</v>
      </c>
      <c r="K15" s="97">
        <f>'Prevalence of anaemia'!D3</f>
        <v>0.05</v>
      </c>
    </row>
    <row r="16" spans="1:11" x14ac:dyDescent="0.15">
      <c r="B16" s="10" t="s">
        <v>8</v>
      </c>
      <c r="K16" s="97">
        <f>'Prevalence of anaemia'!E3</f>
        <v>0.24779999999999996</v>
      </c>
    </row>
    <row r="17" spans="1:11" x14ac:dyDescent="0.15">
      <c r="B17" s="10" t="s">
        <v>9</v>
      </c>
      <c r="K17" s="97">
        <f>'Prevalence of anaemia'!F3</f>
        <v>0.24779999999999996</v>
      </c>
    </row>
    <row r="18" spans="1:11" x14ac:dyDescent="0.15">
      <c r="B18" s="10" t="s">
        <v>10</v>
      </c>
      <c r="K18" s="97">
        <f>'Prevalence of anaemia'!G3</f>
        <v>0.24779999999999996</v>
      </c>
    </row>
    <row r="19" spans="1:11" x14ac:dyDescent="0.15">
      <c r="B19" s="10" t="s">
        <v>111</v>
      </c>
      <c r="K19" s="97">
        <f>'Prevalence of anaemia'!H3</f>
        <v>0.27694799999999997</v>
      </c>
    </row>
    <row r="20" spans="1:11" x14ac:dyDescent="0.15">
      <c r="B20" s="10" t="s">
        <v>112</v>
      </c>
      <c r="K20" s="97">
        <f>'Prevalence of anaemia'!I3</f>
        <v>0.27694799999999997</v>
      </c>
    </row>
    <row r="21" spans="1:11" x14ac:dyDescent="0.15">
      <c r="B21" s="10" t="s">
        <v>113</v>
      </c>
      <c r="K21" s="97">
        <f>'Prevalence of anaemia'!J3</f>
        <v>0.27694799999999997</v>
      </c>
    </row>
    <row r="22" spans="1:11" x14ac:dyDescent="0.15">
      <c r="B22" s="10" t="s">
        <v>114</v>
      </c>
      <c r="K22" s="97">
        <f>'Prevalence of anaemia'!K3</f>
        <v>0.27694799999999997</v>
      </c>
    </row>
    <row r="23" spans="1:11" x14ac:dyDescent="0.15">
      <c r="B23" s="10" t="s">
        <v>107</v>
      </c>
      <c r="K23" s="97">
        <f>'Prevalence of anaemia'!L3</f>
        <v>0.19781999999999997</v>
      </c>
    </row>
    <row r="24" spans="1:11" x14ac:dyDescent="0.15">
      <c r="B24" s="10" t="s">
        <v>108</v>
      </c>
      <c r="K24" s="97">
        <f>'Prevalence of anaemia'!M3</f>
        <v>0.19781999999999997</v>
      </c>
    </row>
    <row r="25" spans="1:11" x14ac:dyDescent="0.15">
      <c r="B25" s="10" t="s">
        <v>109</v>
      </c>
      <c r="K25" s="97">
        <f>'Prevalence of anaemia'!N3</f>
        <v>0.19781999999999997</v>
      </c>
    </row>
    <row r="26" spans="1:11" x14ac:dyDescent="0.15">
      <c r="B26" s="10" t="s">
        <v>110</v>
      </c>
      <c r="K26" s="97">
        <f>'Prevalence of anaemia'!O3</f>
        <v>0.19781999999999997</v>
      </c>
    </row>
    <row r="28" spans="1:11" x14ac:dyDescent="0.15">
      <c r="A28" s="10" t="s">
        <v>36</v>
      </c>
      <c r="B28" s="10" t="s">
        <v>6</v>
      </c>
    </row>
    <row r="29" spans="1:11" x14ac:dyDescent="0.15">
      <c r="B29" s="10" t="s">
        <v>7</v>
      </c>
    </row>
    <row r="30" spans="1:11" x14ac:dyDescent="0.15">
      <c r="B30" s="10" t="s">
        <v>8</v>
      </c>
    </row>
    <row r="31" spans="1:11" x14ac:dyDescent="0.15">
      <c r="B31" s="10" t="s">
        <v>9</v>
      </c>
    </row>
    <row r="32" spans="1:11" x14ac:dyDescent="0.15">
      <c r="B32" s="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workbookViewId="0">
      <selection activeCell="A12" sqref="A12:F19"/>
    </sheetView>
  </sheetViews>
  <sheetFormatPr baseColWidth="10" defaultColWidth="14.5" defaultRowHeight="15.75" customHeight="1" x14ac:dyDescent="0.15"/>
  <cols>
    <col min="1" max="1" width="22.33203125" customWidth="1"/>
  </cols>
  <sheetData>
    <row r="1" spans="1:10" ht="15.75" customHeight="1" x14ac:dyDescent="0.15">
      <c r="A1" s="10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111</v>
      </c>
      <c r="H1" s="10" t="s">
        <v>112</v>
      </c>
      <c r="I1" s="10" t="s">
        <v>113</v>
      </c>
      <c r="J1" s="10" t="s">
        <v>114</v>
      </c>
    </row>
    <row r="2" spans="1:10" ht="15.75" customHeight="1" x14ac:dyDescent="0.15">
      <c r="A2" s="10" t="s">
        <v>217</v>
      </c>
      <c r="B2" s="21">
        <v>2.7000000000000001E-3</v>
      </c>
      <c r="C2" s="98">
        <v>0</v>
      </c>
      <c r="D2" s="98">
        <v>0</v>
      </c>
      <c r="E2" s="98">
        <v>0</v>
      </c>
      <c r="F2" s="98">
        <v>0</v>
      </c>
      <c r="G2" s="19">
        <v>0</v>
      </c>
      <c r="H2" s="19">
        <v>0</v>
      </c>
      <c r="I2" s="19">
        <v>0</v>
      </c>
      <c r="J2" s="19">
        <v>0</v>
      </c>
    </row>
    <row r="3" spans="1:10" ht="15.75" customHeight="1" x14ac:dyDescent="0.15">
      <c r="A3" s="10" t="s">
        <v>15</v>
      </c>
      <c r="B3" s="21">
        <v>0.1966</v>
      </c>
      <c r="C3" s="98">
        <v>0</v>
      </c>
      <c r="D3" s="98">
        <v>0</v>
      </c>
      <c r="E3" s="98">
        <v>0</v>
      </c>
      <c r="F3" s="98">
        <v>0</v>
      </c>
      <c r="G3" s="19">
        <v>0</v>
      </c>
      <c r="H3" s="19">
        <v>0</v>
      </c>
      <c r="I3" s="19">
        <v>0</v>
      </c>
      <c r="J3" s="19">
        <v>0</v>
      </c>
    </row>
    <row r="4" spans="1:10" ht="15.75" customHeight="1" x14ac:dyDescent="0.15">
      <c r="A4" s="10" t="s">
        <v>16</v>
      </c>
      <c r="B4" s="21">
        <v>6.2100000000000002E-2</v>
      </c>
      <c r="C4" s="98">
        <v>0</v>
      </c>
      <c r="D4" s="98">
        <v>0</v>
      </c>
      <c r="E4" s="98">
        <v>0</v>
      </c>
      <c r="F4" s="98">
        <v>0</v>
      </c>
      <c r="G4" s="19">
        <v>0</v>
      </c>
      <c r="H4" s="19">
        <v>0</v>
      </c>
      <c r="I4" s="19">
        <v>0</v>
      </c>
      <c r="J4" s="19">
        <v>0</v>
      </c>
    </row>
    <row r="5" spans="1:10" ht="15.75" customHeight="1" x14ac:dyDescent="0.15">
      <c r="A5" s="10" t="s">
        <v>18</v>
      </c>
      <c r="B5" s="21">
        <v>0.29289999999999999</v>
      </c>
      <c r="C5" s="98">
        <v>0</v>
      </c>
      <c r="D5" s="98">
        <v>0</v>
      </c>
      <c r="E5" s="98">
        <v>0</v>
      </c>
      <c r="F5" s="98">
        <v>0</v>
      </c>
      <c r="G5" s="19">
        <v>0</v>
      </c>
      <c r="H5" s="19">
        <v>0</v>
      </c>
      <c r="I5" s="19">
        <v>0</v>
      </c>
      <c r="J5" s="19">
        <v>0</v>
      </c>
    </row>
    <row r="6" spans="1:10" ht="15.75" customHeight="1" x14ac:dyDescent="0.15">
      <c r="A6" s="10" t="s">
        <v>21</v>
      </c>
      <c r="B6" s="21">
        <v>0.24709999999999999</v>
      </c>
      <c r="C6" s="98">
        <v>0</v>
      </c>
      <c r="D6" s="98">
        <v>0</v>
      </c>
      <c r="E6" s="98">
        <v>0</v>
      </c>
      <c r="F6" s="98">
        <v>0</v>
      </c>
      <c r="G6" s="19">
        <v>0</v>
      </c>
      <c r="H6" s="19">
        <v>0</v>
      </c>
      <c r="I6" s="19">
        <v>0</v>
      </c>
      <c r="J6" s="19">
        <v>0</v>
      </c>
    </row>
    <row r="7" spans="1:10" ht="15.75" customHeight="1" x14ac:dyDescent="0.15">
      <c r="A7" s="10" t="s">
        <v>22</v>
      </c>
      <c r="B7" s="21">
        <v>4.7999999999999996E-3</v>
      </c>
      <c r="C7" s="98">
        <v>0</v>
      </c>
      <c r="D7" s="98">
        <v>0</v>
      </c>
      <c r="E7" s="98">
        <v>0</v>
      </c>
      <c r="F7" s="98">
        <v>0</v>
      </c>
      <c r="G7" s="19">
        <v>0</v>
      </c>
      <c r="H7" s="19">
        <v>0</v>
      </c>
      <c r="I7" s="19">
        <v>0</v>
      </c>
      <c r="J7" s="19">
        <v>0</v>
      </c>
    </row>
    <row r="8" spans="1:10" ht="15.75" customHeight="1" x14ac:dyDescent="0.15">
      <c r="A8" s="10" t="s">
        <v>43</v>
      </c>
      <c r="B8" s="21">
        <v>0.13200000000000001</v>
      </c>
      <c r="C8" s="98">
        <v>0</v>
      </c>
      <c r="D8" s="98">
        <v>0</v>
      </c>
      <c r="E8" s="98">
        <v>0</v>
      </c>
      <c r="F8" s="98">
        <v>0</v>
      </c>
      <c r="G8" s="19">
        <v>0</v>
      </c>
      <c r="H8" s="19">
        <v>0</v>
      </c>
      <c r="I8" s="19">
        <v>0</v>
      </c>
      <c r="J8" s="19">
        <v>0</v>
      </c>
    </row>
    <row r="9" spans="1:10" ht="15.75" customHeight="1" x14ac:dyDescent="0.15">
      <c r="A9" s="10" t="s">
        <v>24</v>
      </c>
      <c r="B9" s="21">
        <v>6.1800000000000001E-2</v>
      </c>
      <c r="C9" s="98">
        <v>0</v>
      </c>
      <c r="D9" s="98">
        <v>0</v>
      </c>
      <c r="E9" s="98">
        <v>0</v>
      </c>
      <c r="F9" s="98">
        <v>0</v>
      </c>
      <c r="G9" s="19">
        <v>0</v>
      </c>
      <c r="H9" s="19">
        <v>0</v>
      </c>
      <c r="I9" s="19">
        <v>0</v>
      </c>
      <c r="J9" s="19">
        <v>0</v>
      </c>
    </row>
    <row r="10" spans="1:10" ht="15.75" customHeight="1" x14ac:dyDescent="0.15">
      <c r="A10" s="10" t="s">
        <v>218</v>
      </c>
      <c r="B10" s="98">
        <v>0</v>
      </c>
      <c r="C10" s="21">
        <v>0.1368</v>
      </c>
      <c r="D10" s="21">
        <v>0.1368</v>
      </c>
      <c r="E10" s="21">
        <v>0.1368</v>
      </c>
      <c r="F10" s="21">
        <v>0.1368</v>
      </c>
      <c r="G10" s="19">
        <v>0</v>
      </c>
      <c r="H10" s="19">
        <v>0</v>
      </c>
      <c r="I10" s="19">
        <v>0</v>
      </c>
      <c r="J10" s="19">
        <v>0</v>
      </c>
    </row>
    <row r="11" spans="1:10" ht="15.75" customHeight="1" x14ac:dyDescent="0.15">
      <c r="A11" s="10" t="s">
        <v>219</v>
      </c>
      <c r="B11" s="98">
        <v>0</v>
      </c>
      <c r="C11" s="21">
        <v>0</v>
      </c>
      <c r="D11" s="21">
        <v>0</v>
      </c>
      <c r="E11" s="21">
        <v>0</v>
      </c>
      <c r="F11" s="21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ht="15.75" customHeight="1" x14ac:dyDescent="0.15">
      <c r="A12" s="10" t="s">
        <v>28</v>
      </c>
      <c r="B12" s="98">
        <v>0</v>
      </c>
      <c r="C12" s="21">
        <v>0.20660000000000001</v>
      </c>
      <c r="D12" s="21">
        <v>0.20660000000000001</v>
      </c>
      <c r="E12" s="21">
        <v>0.20660000000000001</v>
      </c>
      <c r="F12" s="21">
        <v>0.20660000000000001</v>
      </c>
      <c r="G12" s="19">
        <v>0</v>
      </c>
      <c r="H12" s="19">
        <v>0</v>
      </c>
      <c r="I12" s="19">
        <v>0</v>
      </c>
      <c r="J12" s="19">
        <v>0</v>
      </c>
    </row>
    <row r="13" spans="1:10" ht="15.75" customHeight="1" x14ac:dyDescent="0.15">
      <c r="A13" s="10" t="s">
        <v>29</v>
      </c>
      <c r="B13" s="98">
        <v>0</v>
      </c>
      <c r="C13" s="21">
        <v>2.1100000000000001E-2</v>
      </c>
      <c r="D13" s="21">
        <v>2.1100000000000001E-2</v>
      </c>
      <c r="E13" s="21">
        <v>2.1100000000000001E-2</v>
      </c>
      <c r="F13" s="21">
        <v>2.1100000000000001E-2</v>
      </c>
      <c r="G13" s="19">
        <v>0</v>
      </c>
      <c r="H13" s="19">
        <v>0</v>
      </c>
      <c r="I13" s="19">
        <v>0</v>
      </c>
      <c r="J13" s="19">
        <v>0</v>
      </c>
    </row>
    <row r="14" spans="1:10" ht="15.75" customHeight="1" x14ac:dyDescent="0.15">
      <c r="A14" s="10" t="s">
        <v>30</v>
      </c>
      <c r="B14" s="98">
        <v>0</v>
      </c>
      <c r="C14" s="21">
        <v>7.4999999999999997E-3</v>
      </c>
      <c r="D14" s="21">
        <v>7.4999999999999997E-3</v>
      </c>
      <c r="E14" s="21">
        <v>7.4999999999999997E-3</v>
      </c>
      <c r="F14" s="21">
        <v>7.4999999999999997E-3</v>
      </c>
      <c r="G14" s="19">
        <v>0</v>
      </c>
      <c r="H14" s="19">
        <v>0</v>
      </c>
      <c r="I14" s="19">
        <v>0</v>
      </c>
      <c r="J14" s="19">
        <v>0</v>
      </c>
    </row>
    <row r="15" spans="1:10" ht="15.75" customHeight="1" x14ac:dyDescent="0.15">
      <c r="A15" s="10" t="s">
        <v>31</v>
      </c>
      <c r="B15" s="98">
        <v>0</v>
      </c>
      <c r="C15" s="21">
        <v>8.6199999999999999E-2</v>
      </c>
      <c r="D15" s="21">
        <v>8.6199999999999999E-2</v>
      </c>
      <c r="E15" s="21">
        <v>8.6199999999999999E-2</v>
      </c>
      <c r="F15" s="21">
        <v>8.6199999999999999E-2</v>
      </c>
      <c r="G15" s="19">
        <v>0</v>
      </c>
      <c r="H15" s="19">
        <v>0</v>
      </c>
      <c r="I15" s="19">
        <v>0</v>
      </c>
      <c r="J15" s="19">
        <v>0</v>
      </c>
    </row>
    <row r="16" spans="1:10" ht="15.75" customHeight="1" x14ac:dyDescent="0.15">
      <c r="A16" s="10" t="s">
        <v>32</v>
      </c>
      <c r="B16" s="98">
        <v>0</v>
      </c>
      <c r="C16" s="21">
        <v>2.86E-2</v>
      </c>
      <c r="D16" s="21">
        <v>2.86E-2</v>
      </c>
      <c r="E16" s="21">
        <v>2.86E-2</v>
      </c>
      <c r="F16" s="21">
        <v>2.86E-2</v>
      </c>
      <c r="G16" s="19">
        <v>0</v>
      </c>
      <c r="H16" s="19">
        <v>0</v>
      </c>
      <c r="I16" s="19">
        <v>0</v>
      </c>
      <c r="J16" s="19">
        <v>0</v>
      </c>
    </row>
    <row r="17" spans="1:10" ht="15.75" customHeight="1" x14ac:dyDescent="0.15">
      <c r="A17" s="10" t="s">
        <v>33</v>
      </c>
      <c r="B17" s="98">
        <v>0</v>
      </c>
      <c r="C17" s="21">
        <v>1.5299999999999999E-2</v>
      </c>
      <c r="D17" s="21">
        <v>1.5299999999999999E-2</v>
      </c>
      <c r="E17" s="21">
        <v>1.5299999999999999E-2</v>
      </c>
      <c r="F17" s="21">
        <v>1.5299999999999999E-2</v>
      </c>
      <c r="G17" s="19">
        <v>0</v>
      </c>
      <c r="H17" s="19">
        <v>0</v>
      </c>
      <c r="I17" s="19">
        <v>0</v>
      </c>
      <c r="J17" s="19">
        <v>0</v>
      </c>
    </row>
    <row r="18" spans="1:10" ht="15.75" customHeight="1" x14ac:dyDescent="0.15">
      <c r="A18" s="10" t="s">
        <v>34</v>
      </c>
      <c r="B18" s="98">
        <v>0</v>
      </c>
      <c r="C18" s="21">
        <v>0.13589999999999999</v>
      </c>
      <c r="D18" s="21">
        <v>0.13589999999999999</v>
      </c>
      <c r="E18" s="21">
        <v>0.13589999999999999</v>
      </c>
      <c r="F18" s="21">
        <v>0.13589999999999999</v>
      </c>
      <c r="G18" s="19">
        <v>0</v>
      </c>
      <c r="H18" s="19">
        <v>0</v>
      </c>
      <c r="I18" s="19">
        <v>0</v>
      </c>
      <c r="J18" s="19">
        <v>0</v>
      </c>
    </row>
    <row r="19" spans="1:10" ht="15.75" customHeight="1" x14ac:dyDescent="0.15">
      <c r="A19" s="10" t="s">
        <v>35</v>
      </c>
      <c r="B19" s="98">
        <v>0</v>
      </c>
      <c r="C19" s="21">
        <v>0.36199999999999999</v>
      </c>
      <c r="D19" s="21">
        <v>0.36199999999999999</v>
      </c>
      <c r="E19" s="21">
        <v>0.36199999999999999</v>
      </c>
      <c r="F19" s="21">
        <v>0.36199999999999999</v>
      </c>
      <c r="G19" s="19">
        <v>0</v>
      </c>
      <c r="H19" s="19">
        <v>0</v>
      </c>
      <c r="I19" s="19">
        <v>0</v>
      </c>
      <c r="J19" s="19">
        <v>0</v>
      </c>
    </row>
    <row r="20" spans="1:10" ht="15.75" customHeight="1" x14ac:dyDescent="0.15">
      <c r="A20" s="10" t="s">
        <v>81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21">
        <v>0.10082724000000001</v>
      </c>
      <c r="H20" s="21">
        <v>0.10082724000000001</v>
      </c>
      <c r="I20" s="21">
        <v>0.10082724000000001</v>
      </c>
      <c r="J20" s="21">
        <v>0.10082724000000001</v>
      </c>
    </row>
    <row r="21" spans="1:10" ht="15.75" customHeight="1" x14ac:dyDescent="0.15">
      <c r="A21" s="10" t="s">
        <v>82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21">
        <v>3.1206000000000002E-4</v>
      </c>
      <c r="H21" s="21">
        <v>3.1206000000000002E-4</v>
      </c>
      <c r="I21" s="21">
        <v>3.1206000000000002E-4</v>
      </c>
      <c r="J21" s="21">
        <v>3.1206000000000002E-4</v>
      </c>
    </row>
    <row r="22" spans="1:10" ht="15.75" customHeight="1" x14ac:dyDescent="0.15">
      <c r="A22" s="10" t="s">
        <v>83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21">
        <v>0.15891214000000001</v>
      </c>
      <c r="H22" s="21">
        <v>0.15891214000000001</v>
      </c>
      <c r="I22" s="21">
        <v>0.15891214000000001</v>
      </c>
      <c r="J22" s="21">
        <v>0.15891214000000001</v>
      </c>
    </row>
    <row r="23" spans="1:10" ht="15.75" customHeight="1" x14ac:dyDescent="0.15">
      <c r="A23" s="10" t="s">
        <v>84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21">
        <v>0.12598688999999999</v>
      </c>
      <c r="H23" s="21">
        <v>0.12598688999999999</v>
      </c>
      <c r="I23" s="21">
        <v>0.12598688999999999</v>
      </c>
      <c r="J23" s="21">
        <v>0.12598688999999999</v>
      </c>
    </row>
    <row r="24" spans="1:10" ht="15.75" customHeight="1" x14ac:dyDescent="0.15">
      <c r="A24" s="10" t="s">
        <v>85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21">
        <v>0.12434007</v>
      </c>
      <c r="H24" s="21">
        <v>0.12434007</v>
      </c>
      <c r="I24" s="21">
        <v>0.12434007</v>
      </c>
      <c r="J24" s="21">
        <v>0.12434007</v>
      </c>
    </row>
    <row r="25" spans="1:10" ht="15.75" customHeight="1" x14ac:dyDescent="0.15">
      <c r="A25" s="10" t="s">
        <v>86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21">
        <v>3.9028409999999999E-2</v>
      </c>
      <c r="H25" s="21">
        <v>3.9028409999999999E-2</v>
      </c>
      <c r="I25" s="21">
        <v>3.9028409999999999E-2</v>
      </c>
      <c r="J25" s="21">
        <v>3.9028409999999999E-2</v>
      </c>
    </row>
    <row r="26" spans="1:10" ht="15.75" customHeight="1" x14ac:dyDescent="0.15">
      <c r="A26" s="10" t="s">
        <v>87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21">
        <v>8.5254999999999999E-4</v>
      </c>
      <c r="H26" s="21">
        <v>8.5254999999999999E-4</v>
      </c>
      <c r="I26" s="21">
        <v>8.5254999999999999E-4</v>
      </c>
      <c r="J26" s="21">
        <v>8.5254999999999999E-4</v>
      </c>
    </row>
    <row r="27" spans="1:10" ht="15.75" customHeight="1" x14ac:dyDescent="0.15">
      <c r="A27" s="10" t="s">
        <v>88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21">
        <v>6.8467810000000004E-2</v>
      </c>
      <c r="H27" s="21">
        <v>6.8467810000000004E-2</v>
      </c>
      <c r="I27" s="21">
        <v>6.8467810000000004E-2</v>
      </c>
      <c r="J27" s="21">
        <v>6.8467810000000004E-2</v>
      </c>
    </row>
    <row r="28" spans="1:10" ht="15.75" customHeight="1" x14ac:dyDescent="0.15">
      <c r="A28" s="10" t="s">
        <v>89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21">
        <v>0.38127283000000001</v>
      </c>
      <c r="H28" s="21">
        <v>0.38127283000000001</v>
      </c>
      <c r="I28" s="21">
        <v>0.38127283000000001</v>
      </c>
      <c r="J28" s="21">
        <v>0.38127283000000001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A14" sqref="A14:G17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11</v>
      </c>
      <c r="B1" s="1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ht="15.75" customHeight="1" x14ac:dyDescent="0.15">
      <c r="A2" s="12" t="s">
        <v>13</v>
      </c>
      <c r="B2" s="12" t="s">
        <v>14</v>
      </c>
      <c r="C2" s="81">
        <f t="shared" ref="C2:G2" si="0">(1-_xlfn.NORM.DIST(_xlfn.NORM.INV(SUM(C4:C5), 0, 1) + 1, 0, 1, TRUE))</f>
        <v>0.52185054489262472</v>
      </c>
      <c r="D2" s="81">
        <f t="shared" si="0"/>
        <v>0.52185054489262472</v>
      </c>
      <c r="E2" s="81">
        <f t="shared" si="0"/>
        <v>0.41898532695747215</v>
      </c>
      <c r="F2" s="81">
        <f t="shared" si="0"/>
        <v>0.21463848942200692</v>
      </c>
      <c r="G2" s="81">
        <f t="shared" si="0"/>
        <v>0.20401614183110062</v>
      </c>
    </row>
    <row r="3" spans="1:7" ht="15.75" customHeight="1" x14ac:dyDescent="0.15">
      <c r="A3" s="11"/>
      <c r="B3" s="12" t="s">
        <v>23</v>
      </c>
      <c r="C3" s="81">
        <f t="shared" ref="C3:G3" si="1">1-C2-C4-C5</f>
        <v>0.33239073417714265</v>
      </c>
      <c r="D3" s="81">
        <f t="shared" si="1"/>
        <v>0.33239073417714265</v>
      </c>
      <c r="E3" s="81">
        <f t="shared" si="1"/>
        <v>0.3678562428099697</v>
      </c>
      <c r="F3" s="81">
        <f t="shared" si="1"/>
        <v>0.36836005708962088</v>
      </c>
      <c r="G3" s="81">
        <f t="shared" si="1"/>
        <v>0.36451612561075974</v>
      </c>
    </row>
    <row r="4" spans="1:7" ht="15.75" customHeight="1" x14ac:dyDescent="0.15">
      <c r="A4" s="11"/>
      <c r="B4" s="12" t="s">
        <v>25</v>
      </c>
      <c r="C4" s="81">
        <v>9.2681797853309517E-2</v>
      </c>
      <c r="D4" s="81">
        <v>9.2681797853309517E-2</v>
      </c>
      <c r="E4" s="81">
        <v>0.14681227638640432</v>
      </c>
      <c r="F4" s="81">
        <v>0.26353991502683366</v>
      </c>
      <c r="G4" s="81">
        <v>0.27650619409660115</v>
      </c>
    </row>
    <row r="5" spans="1:7" ht="15.75" customHeight="1" x14ac:dyDescent="0.15">
      <c r="A5" s="11"/>
      <c r="B5" s="12" t="s">
        <v>26</v>
      </c>
      <c r="C5" s="81">
        <v>5.3076923076923077E-2</v>
      </c>
      <c r="D5" s="81">
        <v>5.3076923076923077E-2</v>
      </c>
      <c r="E5" s="81">
        <v>6.6346153846153846E-2</v>
      </c>
      <c r="F5" s="81">
        <v>0.15346153846153848</v>
      </c>
      <c r="G5" s="81">
        <v>0.15496153846153846</v>
      </c>
    </row>
    <row r="8" spans="1:7" ht="15.75" customHeight="1" x14ac:dyDescent="0.15">
      <c r="A8" s="4" t="s">
        <v>27</v>
      </c>
      <c r="B8" s="4" t="s">
        <v>14</v>
      </c>
      <c r="C8" s="82">
        <f>(1-_xlfn.NORM.DIST(_xlfn.NORM.INV(SUM(C10:C11), 0, 1) + 1, 0, 1, TRUE))</f>
        <v>0.6241955901533508</v>
      </c>
      <c r="D8" s="82">
        <f t="shared" ref="D8:G8" si="2">(1-_xlfn.NORM.DIST(_xlfn.NORM.INV(SUM(D10:D11), 0, 1) + 1, 0, 1, TRUE))</f>
        <v>0.6241955901533508</v>
      </c>
      <c r="E8" s="82">
        <f t="shared" si="2"/>
        <v>0.67893049969004693</v>
      </c>
      <c r="F8" s="82">
        <f t="shared" si="2"/>
        <v>0.73272724658607158</v>
      </c>
      <c r="G8" s="82">
        <f t="shared" si="2"/>
        <v>0.81198128934787228</v>
      </c>
    </row>
    <row r="9" spans="1:7" ht="15.75" customHeight="1" x14ac:dyDescent="0.15">
      <c r="B9" s="4" t="s">
        <v>23</v>
      </c>
      <c r="C9" s="82">
        <f>1-C8-C10-C11</f>
        <v>0.28180440984664923</v>
      </c>
      <c r="D9" s="82">
        <f t="shared" ref="D9:G9" si="3">1-D8-D10-D11</f>
        <v>0.28180440984664923</v>
      </c>
      <c r="E9" s="82">
        <f t="shared" si="3"/>
        <v>0.24956950030995306</v>
      </c>
      <c r="F9" s="82">
        <f t="shared" si="3"/>
        <v>0.2147727534139284</v>
      </c>
      <c r="G9" s="82">
        <f t="shared" si="3"/>
        <v>0.15831871065212771</v>
      </c>
    </row>
    <row r="10" spans="1:7" ht="15.75" customHeight="1" x14ac:dyDescent="0.15">
      <c r="B10" s="4" t="s">
        <v>143</v>
      </c>
      <c r="C10" s="82">
        <v>5.4000000000000006E-2</v>
      </c>
      <c r="D10" s="82">
        <v>5.4000000000000006E-2</v>
      </c>
      <c r="E10" s="82">
        <v>5.5500000000000001E-2</v>
      </c>
      <c r="F10" s="82">
        <v>4.2500000000000003E-2</v>
      </c>
      <c r="G10" s="82">
        <v>2.2399999999999996E-2</v>
      </c>
    </row>
    <row r="11" spans="1:7" ht="15.75" customHeight="1" x14ac:dyDescent="0.15">
      <c r="B11" s="4" t="s">
        <v>144</v>
      </c>
      <c r="C11" s="82">
        <v>0.04</v>
      </c>
      <c r="D11" s="82">
        <v>0.04</v>
      </c>
      <c r="E11" s="82">
        <v>1.6E-2</v>
      </c>
      <c r="F11" s="82">
        <v>0.01</v>
      </c>
      <c r="G11" s="82">
        <v>7.3000000000000001E-3</v>
      </c>
    </row>
    <row r="14" spans="1:7" ht="15.75" customHeight="1" x14ac:dyDescent="0.15">
      <c r="A14" s="4" t="s">
        <v>36</v>
      </c>
      <c r="B14" s="4" t="s">
        <v>37</v>
      </c>
      <c r="C14" s="83">
        <v>0.60941176470588243</v>
      </c>
      <c r="D14" s="84">
        <v>0.36928980392156902</v>
      </c>
      <c r="E14" s="83">
        <v>1.0882352941176471E-2</v>
      </c>
      <c r="F14" s="85">
        <v>0</v>
      </c>
      <c r="G14" s="86">
        <v>0</v>
      </c>
    </row>
    <row r="15" spans="1:7" ht="15.75" customHeight="1" x14ac:dyDescent="0.15">
      <c r="B15" s="4" t="s">
        <v>38</v>
      </c>
      <c r="C15" s="83">
        <v>0.27419607843137256</v>
      </c>
      <c r="D15" s="84">
        <v>0.56865882352941177</v>
      </c>
      <c r="E15" s="83">
        <v>9.6862745098039216E-2</v>
      </c>
      <c r="F15" s="86">
        <v>2.9803921568627456E-3</v>
      </c>
      <c r="G15" s="86">
        <v>0</v>
      </c>
    </row>
    <row r="16" spans="1:7" ht="15.75" customHeight="1" x14ac:dyDescent="0.15">
      <c r="B16" s="4" t="s">
        <v>39</v>
      </c>
      <c r="C16" s="83">
        <v>5.3248840803709424E-2</v>
      </c>
      <c r="D16" s="87">
        <v>6.2063369397217905E-2</v>
      </c>
      <c r="E16" s="83">
        <v>0.85886707882534763</v>
      </c>
      <c r="F16" s="86">
        <v>0.66193817619783613</v>
      </c>
      <c r="G16" s="86">
        <v>0</v>
      </c>
    </row>
    <row r="17" spans="2:7" ht="15.75" customHeight="1" x14ac:dyDescent="0.15">
      <c r="B17" s="4" t="s">
        <v>40</v>
      </c>
      <c r="C17" s="83">
        <v>6.314331605903567E-2</v>
      </c>
      <c r="D17" s="87">
        <v>-1.1996848198698728E-5</v>
      </c>
      <c r="E17" s="83">
        <v>3.3387823135436673E-2</v>
      </c>
      <c r="F17" s="86">
        <v>0.33508143164530113</v>
      </c>
      <c r="G17" s="86">
        <v>1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B3" sqref="B3:F3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41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15">
      <c r="A2" s="4" t="s">
        <v>218</v>
      </c>
      <c r="B2" s="88">
        <v>2.7757067796610171</v>
      </c>
      <c r="C2" s="88">
        <v>2.7757067796610171</v>
      </c>
      <c r="D2" s="88">
        <v>9.4114728813559321</v>
      </c>
      <c r="E2" s="88">
        <v>9.0645483050847453</v>
      </c>
      <c r="F2" s="88">
        <v>3.1660550847457629</v>
      </c>
    </row>
    <row r="3" spans="1:6" ht="15.75" customHeight="1" x14ac:dyDescent="0.15">
      <c r="A3" s="142" t="s">
        <v>219</v>
      </c>
      <c r="B3" s="143">
        <v>3.2000000000000001E-2</v>
      </c>
      <c r="C3" s="143">
        <v>3.2000000000000001E-2</v>
      </c>
      <c r="D3" s="143">
        <v>3.2000000000000001E-2</v>
      </c>
      <c r="E3" s="143">
        <v>3.2000000000000001E-2</v>
      </c>
      <c r="F3" s="143">
        <v>3.2000000000000001E-2</v>
      </c>
    </row>
    <row r="4" spans="1:6" ht="15.75" customHeight="1" x14ac:dyDescent="0.15">
      <c r="A4" s="4" t="s">
        <v>28</v>
      </c>
      <c r="B4" s="4">
        <v>3.2000000000000001E-2</v>
      </c>
      <c r="C4" s="4">
        <v>3.2000000000000001E-2</v>
      </c>
      <c r="D4" s="4">
        <v>3.2000000000000001E-2</v>
      </c>
      <c r="E4" s="4">
        <v>3.2000000000000001E-2</v>
      </c>
      <c r="F4" s="4">
        <v>3.2000000000000001E-2</v>
      </c>
    </row>
    <row r="5" spans="1:6" ht="15.75" customHeight="1" x14ac:dyDescent="0.15">
      <c r="A5" s="4" t="s">
        <v>143</v>
      </c>
      <c r="B5" s="11">
        <f>Distributions!C10*2.6</f>
        <v>0.14040000000000002</v>
      </c>
      <c r="C5" s="11">
        <f>Distributions!D10*2.6</f>
        <v>0.14040000000000002</v>
      </c>
      <c r="D5" s="11">
        <f>Distributions!E10*2.6</f>
        <v>0.14430000000000001</v>
      </c>
      <c r="E5" s="11">
        <f>Distributions!F10*2.6</f>
        <v>0.11050000000000001</v>
      </c>
      <c r="F5" s="11">
        <f>Distributions!G10*2.6</f>
        <v>5.8239999999999993E-2</v>
      </c>
    </row>
    <row r="6" spans="1:6" ht="15.75" customHeight="1" x14ac:dyDescent="0.15">
      <c r="A6" s="4" t="s">
        <v>144</v>
      </c>
      <c r="B6" s="11">
        <f>Distributions!C11*2.6</f>
        <v>0.10400000000000001</v>
      </c>
      <c r="C6" s="11">
        <f>Distributions!D11*2.6</f>
        <v>0.10400000000000001</v>
      </c>
      <c r="D6" s="11">
        <f>Distributions!E11*2.6</f>
        <v>4.1600000000000005E-2</v>
      </c>
      <c r="E6" s="11">
        <f>Distributions!F11*2.6</f>
        <v>2.6000000000000002E-2</v>
      </c>
      <c r="F6" s="11">
        <f>Distributions!G11*2.6</f>
        <v>1.898E-2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"/>
  <sheetViews>
    <sheetView workbookViewId="0">
      <selection activeCell="E5" sqref="E5:O5"/>
    </sheetView>
  </sheetViews>
  <sheetFormatPr baseColWidth="10" defaultColWidth="11.5" defaultRowHeight="13" x14ac:dyDescent="0.15"/>
  <cols>
    <col min="1" max="1" width="31.33203125" bestFit="1" customWidth="1"/>
    <col min="2" max="2" width="31.3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x14ac:dyDescent="0.15">
      <c r="A1" s="10" t="s">
        <v>220</v>
      </c>
      <c r="B1" s="10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15">
      <c r="A2" s="10" t="s">
        <v>216</v>
      </c>
      <c r="B2" t="s">
        <v>221</v>
      </c>
      <c r="C2" s="97">
        <f t="shared" ref="C2:O2" si="0">1-C3</f>
        <v>0.95</v>
      </c>
      <c r="D2" s="97">
        <f t="shared" si="0"/>
        <v>0.95</v>
      </c>
      <c r="E2" s="97">
        <f t="shared" si="0"/>
        <v>0.75219999999999998</v>
      </c>
      <c r="F2" s="97">
        <f t="shared" si="0"/>
        <v>0.75219999999999998</v>
      </c>
      <c r="G2" s="97">
        <f t="shared" si="0"/>
        <v>0.75219999999999998</v>
      </c>
      <c r="H2" s="97">
        <f t="shared" si="0"/>
        <v>0.72305200000000003</v>
      </c>
      <c r="I2" s="97">
        <f t="shared" si="0"/>
        <v>0.72305200000000003</v>
      </c>
      <c r="J2" s="97">
        <f t="shared" si="0"/>
        <v>0.72305200000000003</v>
      </c>
      <c r="K2" s="97">
        <f t="shared" si="0"/>
        <v>0.72305200000000003</v>
      </c>
      <c r="L2" s="97">
        <f t="shared" si="0"/>
        <v>0.80218</v>
      </c>
      <c r="M2" s="97">
        <f t="shared" si="0"/>
        <v>0.80218</v>
      </c>
      <c r="N2" s="97">
        <f t="shared" si="0"/>
        <v>0.80218</v>
      </c>
      <c r="O2" s="97">
        <f t="shared" si="0"/>
        <v>0.80218</v>
      </c>
    </row>
    <row r="3" spans="1:15" x14ac:dyDescent="0.15">
      <c r="B3" t="s">
        <v>222</v>
      </c>
      <c r="C3" s="97">
        <f>C6</f>
        <v>0.05</v>
      </c>
      <c r="D3" s="97">
        <f t="shared" ref="D3:N3" si="1">D6</f>
        <v>0.05</v>
      </c>
      <c r="E3" s="97">
        <f t="shared" si="1"/>
        <v>0.24779999999999996</v>
      </c>
      <c r="F3" s="97">
        <f t="shared" si="1"/>
        <v>0.24779999999999996</v>
      </c>
      <c r="G3" s="97">
        <f t="shared" si="1"/>
        <v>0.24779999999999996</v>
      </c>
      <c r="H3" s="97">
        <f t="shared" si="1"/>
        <v>0.27694799999999997</v>
      </c>
      <c r="I3" s="97">
        <f t="shared" si="1"/>
        <v>0.27694799999999997</v>
      </c>
      <c r="J3" s="97">
        <f t="shared" si="1"/>
        <v>0.27694799999999997</v>
      </c>
      <c r="K3" s="97">
        <f t="shared" si="1"/>
        <v>0.27694799999999997</v>
      </c>
      <c r="L3" s="97">
        <f t="shared" si="1"/>
        <v>0.19781999999999997</v>
      </c>
      <c r="M3" s="97">
        <f t="shared" si="1"/>
        <v>0.19781999999999997</v>
      </c>
      <c r="N3" s="97">
        <f t="shared" si="1"/>
        <v>0.19781999999999997</v>
      </c>
      <c r="O3" s="97">
        <f>O6</f>
        <v>0.19781999999999997</v>
      </c>
    </row>
    <row r="4" spans="1:15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15">
      <c r="A5" s="10" t="s">
        <v>223</v>
      </c>
      <c r="B5" t="s">
        <v>222</v>
      </c>
      <c r="C5" s="99">
        <v>0.1</v>
      </c>
      <c r="D5" s="99">
        <v>0.1</v>
      </c>
      <c r="E5" s="100">
        <v>0.59</v>
      </c>
      <c r="F5" s="100">
        <v>0.59</v>
      </c>
      <c r="G5" s="101">
        <v>0.59</v>
      </c>
      <c r="H5" s="102">
        <v>0.65939999999999999</v>
      </c>
      <c r="I5" s="102">
        <v>0.65939999999999999</v>
      </c>
      <c r="J5" s="102">
        <v>0.65939999999999999</v>
      </c>
      <c r="K5" s="102">
        <v>0.65939999999999999</v>
      </c>
      <c r="L5" s="102">
        <v>0.47099999999999997</v>
      </c>
      <c r="M5" s="102">
        <v>0.47099999999999997</v>
      </c>
      <c r="N5" s="102">
        <v>0.47099999999999997</v>
      </c>
      <c r="O5" s="102">
        <v>0.47099999999999997</v>
      </c>
    </row>
    <row r="6" spans="1:15" x14ac:dyDescent="0.15">
      <c r="A6" s="10" t="s">
        <v>224</v>
      </c>
      <c r="B6" t="s">
        <v>222</v>
      </c>
      <c r="C6" s="99">
        <v>0.05</v>
      </c>
      <c r="D6" s="99">
        <v>0.05</v>
      </c>
      <c r="E6" s="141">
        <f>0.42*E5</f>
        <v>0.24779999999999996</v>
      </c>
      <c r="F6" s="141">
        <f t="shared" ref="F6:O6" si="2">0.42*F5</f>
        <v>0.24779999999999996</v>
      </c>
      <c r="G6" s="141">
        <f t="shared" si="2"/>
        <v>0.24779999999999996</v>
      </c>
      <c r="H6" s="141">
        <f t="shared" si="2"/>
        <v>0.27694799999999997</v>
      </c>
      <c r="I6" s="141">
        <f t="shared" si="2"/>
        <v>0.27694799999999997</v>
      </c>
      <c r="J6" s="141">
        <f t="shared" si="2"/>
        <v>0.27694799999999997</v>
      </c>
      <c r="K6" s="141">
        <f t="shared" si="2"/>
        <v>0.27694799999999997</v>
      </c>
      <c r="L6" s="141">
        <f t="shared" si="2"/>
        <v>0.19781999999999997</v>
      </c>
      <c r="M6" s="141">
        <f t="shared" si="2"/>
        <v>0.19781999999999997</v>
      </c>
      <c r="N6" s="141">
        <f t="shared" si="2"/>
        <v>0.19781999999999997</v>
      </c>
      <c r="O6" s="141">
        <f t="shared" si="2"/>
        <v>0.19781999999999997</v>
      </c>
    </row>
    <row r="7" spans="1:15" x14ac:dyDescent="0.15">
      <c r="A7" s="10" t="s">
        <v>225</v>
      </c>
      <c r="B7" t="s">
        <v>222</v>
      </c>
      <c r="C7" s="104">
        <v>2.7699999999999999E-2</v>
      </c>
      <c r="D7" s="104">
        <v>2.7699999999999999E-2</v>
      </c>
      <c r="E7" s="103">
        <v>2.7699999999999999E-2</v>
      </c>
      <c r="F7" s="103">
        <v>2.7699999999999999E-2</v>
      </c>
      <c r="G7" s="103">
        <v>2.7699999999999999E-2</v>
      </c>
      <c r="H7" s="103">
        <v>1.7000000000000001E-2</v>
      </c>
      <c r="I7" s="103">
        <v>1.7000000000000001E-2</v>
      </c>
      <c r="J7" s="103">
        <v>1.7000000000000001E-2</v>
      </c>
      <c r="K7" s="103">
        <v>1.7000000000000001E-2</v>
      </c>
      <c r="L7" s="103">
        <v>1.7000000000000001E-2</v>
      </c>
      <c r="M7" s="103">
        <v>1.7000000000000001E-2</v>
      </c>
      <c r="N7" s="103">
        <v>1.7000000000000001E-2</v>
      </c>
      <c r="O7" s="103">
        <v>1.7000000000000001E-2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>
      <selection activeCell="C9" sqref="C9"/>
    </sheetView>
  </sheetViews>
  <sheetFormatPr baseColWidth="10" defaultColWidth="11.5" defaultRowHeight="13" x14ac:dyDescent="0.15"/>
  <cols>
    <col min="1" max="1" width="20.83203125" customWidth="1"/>
    <col min="2" max="2" width="50" customWidth="1"/>
  </cols>
  <sheetData>
    <row r="1" spans="1:3" x14ac:dyDescent="0.15">
      <c r="A1" s="10" t="s">
        <v>201</v>
      </c>
      <c r="B1" s="10" t="s">
        <v>200</v>
      </c>
      <c r="C1" s="10" t="s">
        <v>199</v>
      </c>
    </row>
    <row r="2" spans="1:3" x14ac:dyDescent="0.15">
      <c r="A2" s="71" t="s">
        <v>198</v>
      </c>
      <c r="B2" s="72" t="s">
        <v>188</v>
      </c>
      <c r="C2" s="105">
        <v>5.6000000000000001E-2</v>
      </c>
    </row>
    <row r="3" spans="1:3" x14ac:dyDescent="0.15">
      <c r="B3" s="72" t="s">
        <v>189</v>
      </c>
      <c r="C3" s="105">
        <v>5.0000000000000001E-3</v>
      </c>
    </row>
    <row r="4" spans="1:3" x14ac:dyDescent="0.15">
      <c r="B4" s="72" t="s">
        <v>190</v>
      </c>
      <c r="C4" s="105">
        <v>0</v>
      </c>
    </row>
    <row r="5" spans="1:3" x14ac:dyDescent="0.15">
      <c r="B5" s="73" t="s">
        <v>191</v>
      </c>
      <c r="C5" s="105">
        <v>0.152</v>
      </c>
    </row>
    <row r="6" spans="1:3" x14ac:dyDescent="0.15">
      <c r="B6" s="73" t="s">
        <v>192</v>
      </c>
      <c r="C6" s="105">
        <v>0.34200000000000003</v>
      </c>
    </row>
    <row r="7" spans="1:3" x14ac:dyDescent="0.15">
      <c r="B7" s="73" t="s">
        <v>193</v>
      </c>
      <c r="C7" s="105">
        <v>0.29899999999999999</v>
      </c>
    </row>
    <row r="8" spans="1:3" x14ac:dyDescent="0.15">
      <c r="B8" s="74" t="s">
        <v>194</v>
      </c>
      <c r="C8" s="105">
        <v>1E-3</v>
      </c>
    </row>
    <row r="9" spans="1:3" x14ac:dyDescent="0.15">
      <c r="B9" s="74" t="s">
        <v>195</v>
      </c>
      <c r="C9" s="105">
        <v>5.0000000000000001E-3</v>
      </c>
    </row>
    <row r="10" spans="1:3" x14ac:dyDescent="0.15">
      <c r="B10" s="74" t="s">
        <v>196</v>
      </c>
      <c r="C10" s="105">
        <v>0.14099999999999999</v>
      </c>
    </row>
    <row r="11" spans="1:3" x14ac:dyDescent="0.15">
      <c r="C11" s="105"/>
    </row>
    <row r="12" spans="1:3" x14ac:dyDescent="0.15">
      <c r="A12" s="71" t="s">
        <v>197</v>
      </c>
      <c r="B12" s="62" t="s">
        <v>184</v>
      </c>
      <c r="C12" s="105">
        <v>0.20799999999999999</v>
      </c>
    </row>
    <row r="13" spans="1:3" x14ac:dyDescent="0.15">
      <c r="B13" s="62" t="s">
        <v>185</v>
      </c>
      <c r="C13" s="105">
        <v>3.5999999999999997E-2</v>
      </c>
    </row>
    <row r="14" spans="1:3" x14ac:dyDescent="0.15">
      <c r="B14" s="62" t="s">
        <v>186</v>
      </c>
      <c r="C14" s="105">
        <v>0.11899999999999999</v>
      </c>
    </row>
    <row r="15" spans="1:3" x14ac:dyDescent="0.15">
      <c r="B15" s="62" t="s">
        <v>187</v>
      </c>
      <c r="C15" s="105">
        <v>0.63700000000000001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8"/>
  <sheetViews>
    <sheetView zoomScale="150" workbookViewId="0">
      <selection activeCell="B12" sqref="B12:F19"/>
    </sheetView>
  </sheetViews>
  <sheetFormatPr baseColWidth="10" defaultColWidth="14.5" defaultRowHeight="15.75" customHeight="1" x14ac:dyDescent="0.15"/>
  <cols>
    <col min="1" max="1" width="18" bestFit="1" customWidth="1"/>
    <col min="2" max="2" width="23.83203125" bestFit="1" customWidth="1"/>
    <col min="3" max="3" width="10.1640625" bestFit="1" customWidth="1"/>
    <col min="4" max="4" width="9.1640625" bestFit="1" customWidth="1"/>
    <col min="5" max="5" width="12.1640625" bestFit="1" customWidth="1"/>
    <col min="6" max="6" width="12" bestFit="1" customWidth="1"/>
  </cols>
  <sheetData>
    <row r="1" spans="1:6" ht="15.75" customHeight="1" x14ac:dyDescent="0.15">
      <c r="A1" s="10" t="s">
        <v>97</v>
      </c>
      <c r="B1" s="10" t="s">
        <v>57</v>
      </c>
      <c r="C1" s="17" t="s">
        <v>42</v>
      </c>
      <c r="D1" s="10" t="s">
        <v>20</v>
      </c>
      <c r="E1" s="10" t="s">
        <v>19</v>
      </c>
      <c r="F1" s="10" t="s">
        <v>17</v>
      </c>
    </row>
    <row r="2" spans="1:6" ht="15.75" customHeight="1" x14ac:dyDescent="0.15">
      <c r="A2" s="10" t="s">
        <v>11</v>
      </c>
      <c r="B2" t="s">
        <v>56</v>
      </c>
      <c r="C2" s="148">
        <f>1-D2-E2-F2</f>
        <v>0.69971511627906968</v>
      </c>
      <c r="D2" s="149">
        <v>0.17480087209302328</v>
      </c>
      <c r="E2" s="149">
        <v>0.10531889534883723</v>
      </c>
      <c r="F2" s="149">
        <v>2.0165116279069771E-2</v>
      </c>
    </row>
    <row r="3" spans="1:6" ht="15.75" customHeight="1" x14ac:dyDescent="0.15">
      <c r="A3" s="10"/>
      <c r="C3" s="138"/>
      <c r="D3" s="139"/>
      <c r="E3" s="139"/>
      <c r="F3" s="139"/>
    </row>
    <row r="4" spans="1:6" ht="15.75" customHeight="1" x14ac:dyDescent="0.15">
      <c r="A4" s="10"/>
      <c r="C4" s="138"/>
      <c r="D4" s="139"/>
      <c r="E4" s="139"/>
      <c r="F4" s="139"/>
    </row>
    <row r="5" spans="1:6" ht="15.75" customHeight="1" x14ac:dyDescent="0.15">
      <c r="A5" s="10" t="s">
        <v>226</v>
      </c>
      <c r="B5" t="s">
        <v>263</v>
      </c>
      <c r="C5" s="23"/>
      <c r="D5" s="11">
        <v>1.53</v>
      </c>
      <c r="E5" s="11">
        <v>1.32</v>
      </c>
      <c r="F5" s="11">
        <v>1.53</v>
      </c>
    </row>
    <row r="6" spans="1:6" ht="15.75" customHeight="1" x14ac:dyDescent="0.2">
      <c r="B6" t="s">
        <v>264</v>
      </c>
      <c r="C6" s="6">
        <v>1</v>
      </c>
      <c r="D6" s="6">
        <v>5</v>
      </c>
      <c r="E6" s="6">
        <v>6.4</v>
      </c>
      <c r="F6" s="6">
        <v>46.5</v>
      </c>
    </row>
    <row r="7" spans="1:6" ht="15.75" customHeight="1" x14ac:dyDescent="0.2">
      <c r="B7" t="s">
        <v>143</v>
      </c>
      <c r="C7" s="36">
        <v>1</v>
      </c>
      <c r="D7" s="36">
        <v>2.52</v>
      </c>
      <c r="E7" s="36">
        <v>1.96</v>
      </c>
      <c r="F7" s="36">
        <v>4.1900000000000004</v>
      </c>
    </row>
    <row r="8" spans="1:6" ht="15.75" customHeight="1" x14ac:dyDescent="0.2">
      <c r="B8" t="s">
        <v>144</v>
      </c>
      <c r="C8" s="36">
        <v>1</v>
      </c>
      <c r="D8" s="36">
        <v>2.52</v>
      </c>
      <c r="E8" s="36">
        <v>1.96</v>
      </c>
      <c r="F8" s="36">
        <v>4.1900000000000004</v>
      </c>
    </row>
    <row r="9" spans="1:6" ht="15.75" customHeight="1" x14ac:dyDescent="0.15">
      <c r="A9" s="10"/>
      <c r="C9" s="5"/>
    </row>
    <row r="10" spans="1:6" ht="15.75" customHeight="1" x14ac:dyDescent="0.15">
      <c r="A10" s="10"/>
    </row>
    <row r="11" spans="1:6" ht="15.75" customHeight="1" x14ac:dyDescent="0.15">
      <c r="B11" s="10"/>
      <c r="C11" s="17"/>
      <c r="D11" s="10"/>
      <c r="E11" s="10"/>
      <c r="F11" s="10"/>
    </row>
    <row r="12" spans="1:6" ht="15.75" customHeight="1" x14ac:dyDescent="0.15">
      <c r="A12" s="10" t="s">
        <v>265</v>
      </c>
      <c r="B12" s="5" t="s">
        <v>217</v>
      </c>
      <c r="C12" s="5">
        <v>1</v>
      </c>
      <c r="D12">
        <v>1</v>
      </c>
      <c r="E12" s="5">
        <v>1</v>
      </c>
      <c r="F12" s="5">
        <v>1</v>
      </c>
    </row>
    <row r="13" spans="1:6" ht="15.75" customHeight="1" x14ac:dyDescent="0.15">
      <c r="B13" s="5" t="s">
        <v>15</v>
      </c>
      <c r="C13" s="5">
        <v>1</v>
      </c>
      <c r="D13">
        <v>2.0099999999999998</v>
      </c>
      <c r="E13" s="5">
        <v>3.39</v>
      </c>
      <c r="F13" s="5">
        <v>11.89</v>
      </c>
    </row>
    <row r="14" spans="1:6" ht="15.75" customHeight="1" x14ac:dyDescent="0.15">
      <c r="B14" s="5" t="s">
        <v>16</v>
      </c>
      <c r="C14" s="5">
        <v>1</v>
      </c>
      <c r="D14">
        <v>2.0099999999999998</v>
      </c>
      <c r="E14" s="5">
        <v>3.39</v>
      </c>
      <c r="F14" s="5">
        <v>11.89</v>
      </c>
    </row>
    <row r="15" spans="1:6" ht="15.75" customHeight="1" x14ac:dyDescent="0.15">
      <c r="B15" s="5" t="s">
        <v>18</v>
      </c>
      <c r="C15" s="5">
        <v>1</v>
      </c>
      <c r="D15">
        <v>2.0099999999999998</v>
      </c>
      <c r="E15" s="5">
        <v>3.39</v>
      </c>
      <c r="F15" s="5">
        <v>11.89</v>
      </c>
    </row>
    <row r="16" spans="1:6" ht="15.75" customHeight="1" x14ac:dyDescent="0.15">
      <c r="B16" s="5" t="s">
        <v>21</v>
      </c>
      <c r="C16" s="5">
        <v>1</v>
      </c>
      <c r="D16">
        <v>1</v>
      </c>
      <c r="E16" s="5">
        <v>999.99</v>
      </c>
      <c r="F16" s="5">
        <v>999.99</v>
      </c>
    </row>
    <row r="17" spans="1:7" ht="15.75" customHeight="1" x14ac:dyDescent="0.15">
      <c r="B17" s="5" t="s">
        <v>22</v>
      </c>
      <c r="C17" s="5">
        <v>1</v>
      </c>
      <c r="D17">
        <v>1</v>
      </c>
      <c r="E17" s="5">
        <v>1</v>
      </c>
      <c r="F17" s="5">
        <v>1</v>
      </c>
    </row>
    <row r="18" spans="1:7" ht="15.75" customHeight="1" x14ac:dyDescent="0.15">
      <c r="B18" s="5" t="s">
        <v>43</v>
      </c>
      <c r="C18" s="5">
        <v>1</v>
      </c>
      <c r="D18">
        <v>1</v>
      </c>
      <c r="E18" s="5">
        <v>1</v>
      </c>
      <c r="F18" s="5">
        <v>1</v>
      </c>
    </row>
    <row r="19" spans="1:7" ht="15.75" customHeight="1" x14ac:dyDescent="0.15">
      <c r="B19" s="5" t="s">
        <v>24</v>
      </c>
      <c r="C19" s="5">
        <v>1</v>
      </c>
      <c r="D19">
        <v>1</v>
      </c>
      <c r="E19" s="5">
        <v>1</v>
      </c>
      <c r="F19" s="5">
        <v>1</v>
      </c>
    </row>
    <row r="22" spans="1:7" ht="15.75" customHeight="1" x14ac:dyDescent="0.15">
      <c r="B22" s="10"/>
    </row>
    <row r="23" spans="1:7" ht="15.75" customHeight="1" x14ac:dyDescent="0.15">
      <c r="A23" s="10" t="s">
        <v>202</v>
      </c>
      <c r="B23" s="64" t="s">
        <v>188</v>
      </c>
      <c r="C23" s="67">
        <v>1</v>
      </c>
      <c r="D23" s="67">
        <v>1.52</v>
      </c>
      <c r="E23" s="67">
        <v>1.75</v>
      </c>
      <c r="F23" s="67">
        <v>3.14</v>
      </c>
      <c r="G23" s="68"/>
    </row>
    <row r="24" spans="1:7" ht="15.75" customHeight="1" x14ac:dyDescent="0.15">
      <c r="B24" s="64" t="s">
        <v>189</v>
      </c>
      <c r="C24" s="67">
        <v>1</v>
      </c>
      <c r="D24" s="67">
        <v>1.2</v>
      </c>
      <c r="E24" s="67">
        <v>1.4</v>
      </c>
      <c r="F24" s="67">
        <v>1.6</v>
      </c>
      <c r="G24" s="68"/>
    </row>
    <row r="25" spans="1:7" ht="15.75" customHeight="1" x14ac:dyDescent="0.15">
      <c r="B25" s="64" t="s">
        <v>190</v>
      </c>
      <c r="C25" s="67">
        <v>1</v>
      </c>
      <c r="D25" s="67">
        <v>1.2</v>
      </c>
      <c r="E25" s="67">
        <v>1.4</v>
      </c>
      <c r="F25" s="67">
        <v>1.6</v>
      </c>
      <c r="G25" s="68"/>
    </row>
    <row r="26" spans="1:7" ht="15.75" customHeight="1" x14ac:dyDescent="0.15">
      <c r="B26" s="65" t="s">
        <v>191</v>
      </c>
      <c r="C26" s="67">
        <v>1</v>
      </c>
      <c r="D26" s="67">
        <v>1.52</v>
      </c>
      <c r="E26" s="67">
        <v>1.75</v>
      </c>
      <c r="F26" s="67">
        <v>1.73</v>
      </c>
      <c r="G26" s="68"/>
    </row>
    <row r="27" spans="1:7" ht="15.75" customHeight="1" x14ac:dyDescent="0.15">
      <c r="B27" s="65" t="s">
        <v>192</v>
      </c>
      <c r="C27" s="67">
        <v>1</v>
      </c>
      <c r="D27" s="67">
        <v>1</v>
      </c>
      <c r="E27" s="67">
        <v>1</v>
      </c>
      <c r="F27" s="67">
        <v>1</v>
      </c>
      <c r="G27" s="68"/>
    </row>
    <row r="28" spans="1:7" ht="15.75" customHeight="1" x14ac:dyDescent="0.15">
      <c r="B28" s="65" t="s">
        <v>193</v>
      </c>
      <c r="C28" s="67">
        <v>1</v>
      </c>
      <c r="D28" s="67">
        <v>1</v>
      </c>
      <c r="E28" s="67">
        <v>1</v>
      </c>
      <c r="F28" s="67">
        <v>1</v>
      </c>
      <c r="G28" s="68"/>
    </row>
    <row r="29" spans="1:7" ht="15.75" customHeight="1" x14ac:dyDescent="0.15">
      <c r="B29" s="66" t="s">
        <v>194</v>
      </c>
      <c r="C29" s="67">
        <v>1</v>
      </c>
      <c r="D29" s="67">
        <v>1.52</v>
      </c>
      <c r="E29" s="67">
        <v>1.75</v>
      </c>
      <c r="F29" s="67">
        <v>1.52</v>
      </c>
      <c r="G29" s="68"/>
    </row>
    <row r="30" spans="1:7" ht="15.75" customHeight="1" x14ac:dyDescent="0.15">
      <c r="B30" s="66" t="s">
        <v>195</v>
      </c>
      <c r="C30" s="67">
        <v>1</v>
      </c>
      <c r="D30" s="67">
        <v>1</v>
      </c>
      <c r="E30" s="67">
        <v>1.33</v>
      </c>
      <c r="F30" s="67">
        <v>1</v>
      </c>
      <c r="G30" s="68"/>
    </row>
    <row r="31" spans="1:7" ht="15.75" customHeight="1" x14ac:dyDescent="0.15">
      <c r="B31" s="66" t="s">
        <v>196</v>
      </c>
      <c r="C31" s="67">
        <v>1</v>
      </c>
      <c r="D31" s="67">
        <v>1</v>
      </c>
      <c r="E31" s="67">
        <v>1.33</v>
      </c>
      <c r="F31" s="67">
        <v>1</v>
      </c>
      <c r="G31" s="68"/>
    </row>
    <row r="32" spans="1:7" ht="15.75" customHeight="1" x14ac:dyDescent="0.15">
      <c r="B32" s="63"/>
      <c r="C32" s="67"/>
      <c r="D32" s="67"/>
      <c r="E32" s="67"/>
      <c r="F32" s="67"/>
      <c r="G32" s="68"/>
    </row>
    <row r="33" spans="1:7" ht="15.75" customHeight="1" x14ac:dyDescent="0.15">
      <c r="C33" s="68"/>
      <c r="D33" s="68"/>
      <c r="E33" s="68"/>
      <c r="F33" s="68"/>
      <c r="G33" s="68"/>
    </row>
    <row r="34" spans="1:7" ht="15.75" customHeight="1" x14ac:dyDescent="0.15">
      <c r="B34" s="10"/>
      <c r="C34" s="69"/>
      <c r="D34" s="69"/>
      <c r="E34" s="69"/>
      <c r="F34" s="69"/>
      <c r="G34" s="68"/>
    </row>
    <row r="35" spans="1:7" ht="15.75" customHeight="1" x14ac:dyDescent="0.15">
      <c r="A35" s="10" t="s">
        <v>203</v>
      </c>
      <c r="B35" s="63" t="s">
        <v>184</v>
      </c>
      <c r="C35" s="67">
        <v>1</v>
      </c>
      <c r="D35" s="70">
        <v>1</v>
      </c>
      <c r="E35" s="70">
        <v>1</v>
      </c>
      <c r="F35" s="70">
        <v>1</v>
      </c>
      <c r="G35" s="68"/>
    </row>
    <row r="36" spans="1:7" ht="15.75" customHeight="1" x14ac:dyDescent="0.15">
      <c r="B36" s="63" t="s">
        <v>185</v>
      </c>
      <c r="C36" s="67">
        <v>1</v>
      </c>
      <c r="D36" s="70">
        <v>1.41</v>
      </c>
      <c r="E36" s="70">
        <v>1.49</v>
      </c>
      <c r="F36" s="70">
        <v>3.03</v>
      </c>
      <c r="G36" s="68"/>
    </row>
    <row r="37" spans="1:7" ht="15.75" customHeight="1" x14ac:dyDescent="0.15">
      <c r="B37" s="63" t="s">
        <v>186</v>
      </c>
      <c r="C37" s="67">
        <v>1</v>
      </c>
      <c r="D37" s="70">
        <v>1.18</v>
      </c>
      <c r="E37" s="70">
        <v>1.1000000000000001</v>
      </c>
      <c r="F37" s="70">
        <v>1.77</v>
      </c>
      <c r="G37" s="68"/>
    </row>
    <row r="38" spans="1:7" ht="15.75" customHeight="1" x14ac:dyDescent="0.15">
      <c r="B38" s="63" t="s">
        <v>187</v>
      </c>
      <c r="C38" s="67">
        <v>1</v>
      </c>
      <c r="D38" s="70">
        <v>1</v>
      </c>
      <c r="E38" s="70">
        <v>1</v>
      </c>
      <c r="F38" s="70">
        <v>1</v>
      </c>
      <c r="G38" s="68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P100"/>
  <sheetViews>
    <sheetView workbookViewId="0">
      <selection activeCell="B71" sqref="B71"/>
    </sheetView>
  </sheetViews>
  <sheetFormatPr baseColWidth="10" defaultColWidth="11.5" defaultRowHeight="13" x14ac:dyDescent="0.15"/>
  <cols>
    <col min="1" max="1" width="14.83203125" bestFit="1" customWidth="1"/>
    <col min="2" max="2" width="20" bestFit="1" customWidth="1"/>
    <col min="3" max="3" width="10.33203125" bestFit="1" customWidth="1"/>
    <col min="4" max="4" width="8.5" bestFit="1" customWidth="1"/>
    <col min="5" max="5" width="10" bestFit="1" customWidth="1"/>
    <col min="7" max="8" width="11.83203125" bestFit="1" customWidth="1"/>
    <col min="9" max="12" width="13.83203125" bestFit="1" customWidth="1"/>
    <col min="13" max="16" width="15.1640625" bestFit="1" customWidth="1"/>
  </cols>
  <sheetData>
    <row r="1" spans="1:16" x14ac:dyDescent="0.15">
      <c r="A1" s="10" t="s">
        <v>55</v>
      </c>
      <c r="B1" s="1" t="s">
        <v>5</v>
      </c>
      <c r="C1" s="1" t="s">
        <v>12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111</v>
      </c>
      <c r="J1" s="10" t="s">
        <v>112</v>
      </c>
      <c r="K1" s="10" t="s">
        <v>113</v>
      </c>
      <c r="L1" s="10" t="s">
        <v>114</v>
      </c>
      <c r="M1" s="10" t="s">
        <v>107</v>
      </c>
      <c r="N1" s="10" t="s">
        <v>108</v>
      </c>
      <c r="O1" s="10" t="s">
        <v>109</v>
      </c>
      <c r="P1" s="10" t="s">
        <v>110</v>
      </c>
    </row>
    <row r="2" spans="1:16" x14ac:dyDescent="0.15">
      <c r="A2" s="10" t="s">
        <v>13</v>
      </c>
      <c r="B2" t="s">
        <v>218</v>
      </c>
      <c r="C2" s="4" t="s">
        <v>14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15">
      <c r="C3" s="4" t="s">
        <v>23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15">
      <c r="C4" s="4" t="s">
        <v>25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15">
      <c r="C5" s="4" t="s">
        <v>26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15">
      <c r="B6" t="s">
        <v>28</v>
      </c>
      <c r="C6" s="4" t="s">
        <v>14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15">
      <c r="C7" s="4" t="s">
        <v>23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15">
      <c r="C8" s="4" t="s">
        <v>25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15">
      <c r="C9" s="4" t="s">
        <v>26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15">
      <c r="B10" t="s">
        <v>30</v>
      </c>
      <c r="C10" s="4" t="s">
        <v>14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15">
      <c r="C11" s="4" t="s">
        <v>23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15">
      <c r="C12" s="4" t="s">
        <v>25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15">
      <c r="C13" s="4" t="s">
        <v>26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15">
      <c r="B14" t="s">
        <v>31</v>
      </c>
      <c r="C14" s="4" t="s">
        <v>14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15">
      <c r="C15" s="4" t="s">
        <v>23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15">
      <c r="C16" s="4" t="s">
        <v>25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15">
      <c r="C17" s="4" t="s">
        <v>26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15">
      <c r="B18" t="s">
        <v>35</v>
      </c>
      <c r="C18" s="4" t="s">
        <v>14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15">
      <c r="C19" s="4" t="s">
        <v>23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15">
      <c r="C20" s="4" t="s">
        <v>25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15">
      <c r="C21" s="4" t="s">
        <v>26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4" spans="1:16" x14ac:dyDescent="0.15">
      <c r="A24" s="10" t="s">
        <v>27</v>
      </c>
      <c r="B24" t="s">
        <v>218</v>
      </c>
      <c r="C24" s="4" t="s">
        <v>14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15">
      <c r="C25" s="4" t="s">
        <v>23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15">
      <c r="C26" s="4" t="s">
        <v>143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15">
      <c r="C27" s="4" t="s">
        <v>144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15">
      <c r="B28" t="s">
        <v>28</v>
      </c>
      <c r="C28" s="4" t="s">
        <v>14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15">
      <c r="C29" s="4" t="s">
        <v>23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15">
      <c r="C30" s="4" t="s">
        <v>143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15">
      <c r="C31" s="4" t="s">
        <v>144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15">
      <c r="B32" t="s">
        <v>30</v>
      </c>
      <c r="C32" s="4" t="s">
        <v>14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15">
      <c r="C33" s="4" t="s">
        <v>23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15">
      <c r="C34" s="4" t="s">
        <v>143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15">
      <c r="C35" s="4" t="s">
        <v>144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15">
      <c r="B36" t="s">
        <v>31</v>
      </c>
      <c r="C36" s="4" t="s">
        <v>14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15">
      <c r="C37" s="4" t="s">
        <v>23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15">
      <c r="C38" s="4" t="s">
        <v>143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15">
      <c r="C39" s="4" t="s">
        <v>144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15">
      <c r="B40" t="s">
        <v>35</v>
      </c>
      <c r="C40" s="4" t="s">
        <v>14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15">
      <c r="C41" s="4" t="s">
        <v>23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15">
      <c r="C42" s="4" t="s">
        <v>143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15">
      <c r="C43" s="4" t="s">
        <v>144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15">
      <c r="C44" s="4"/>
      <c r="D44" s="4"/>
    </row>
    <row r="46" spans="1:16" x14ac:dyDescent="0.15">
      <c r="A46" s="10" t="s">
        <v>216</v>
      </c>
      <c r="B46" t="s">
        <v>218</v>
      </c>
      <c r="C46" s="4" t="s">
        <v>221</v>
      </c>
      <c r="D46" s="4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15">
      <c r="C47" s="4" t="s">
        <v>222</v>
      </c>
      <c r="D47" s="4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15">
      <c r="B48" t="s">
        <v>28</v>
      </c>
      <c r="C48" s="4" t="s">
        <v>221</v>
      </c>
      <c r="D48" s="4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15">
      <c r="C49" s="4" t="s">
        <v>222</v>
      </c>
      <c r="D49" s="4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15">
      <c r="B50" t="s">
        <v>30</v>
      </c>
      <c r="C50" s="4" t="s">
        <v>221</v>
      </c>
      <c r="D50" s="4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15">
      <c r="C51" s="4" t="s">
        <v>222</v>
      </c>
      <c r="D51" s="4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15">
      <c r="B52" t="s">
        <v>31</v>
      </c>
      <c r="C52" s="4" t="s">
        <v>221</v>
      </c>
      <c r="D52" s="4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15">
      <c r="C53" s="4" t="s">
        <v>222</v>
      </c>
      <c r="D53" s="4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15">
      <c r="B54" t="s">
        <v>35</v>
      </c>
      <c r="C54" s="4" t="s">
        <v>221</v>
      </c>
      <c r="D54" s="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15">
      <c r="C55" s="4" t="s">
        <v>222</v>
      </c>
      <c r="D55" s="4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15">
      <c r="A56" s="10"/>
      <c r="B56" t="s">
        <v>81</v>
      </c>
      <c r="C56" s="4" t="s">
        <v>221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>
        <v>1</v>
      </c>
      <c r="N56">
        <v>1</v>
      </c>
      <c r="O56">
        <v>1</v>
      </c>
      <c r="P56">
        <v>1</v>
      </c>
    </row>
    <row r="57" spans="1:16" x14ac:dyDescent="0.15">
      <c r="C57" s="4" t="s">
        <v>222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10.675000000000001</v>
      </c>
      <c r="J57" s="4">
        <v>10.675000000000001</v>
      </c>
      <c r="K57" s="4">
        <v>10.675000000000001</v>
      </c>
      <c r="L57" s="4">
        <v>10.675000000000001</v>
      </c>
      <c r="M57">
        <v>1</v>
      </c>
      <c r="N57">
        <v>1</v>
      </c>
      <c r="O57">
        <v>1</v>
      </c>
      <c r="P57">
        <v>1</v>
      </c>
    </row>
    <row r="58" spans="1:16" x14ac:dyDescent="0.15">
      <c r="B58" t="s">
        <v>82</v>
      </c>
      <c r="C58" s="4" t="s">
        <v>221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>
        <v>1</v>
      </c>
      <c r="N58">
        <v>1</v>
      </c>
      <c r="O58">
        <v>1</v>
      </c>
      <c r="P58">
        <v>1</v>
      </c>
    </row>
    <row r="59" spans="1:16" x14ac:dyDescent="0.15">
      <c r="C59" s="4" t="s">
        <v>222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10.675000000000001</v>
      </c>
      <c r="J59" s="4">
        <v>10.675000000000001</v>
      </c>
      <c r="K59" s="4">
        <v>10.675000000000001</v>
      </c>
      <c r="L59" s="4">
        <v>10.675000000000001</v>
      </c>
      <c r="M59">
        <v>1</v>
      </c>
      <c r="N59">
        <v>1</v>
      </c>
      <c r="O59">
        <v>1</v>
      </c>
      <c r="P59">
        <v>1</v>
      </c>
    </row>
    <row r="60" spans="1:16" x14ac:dyDescent="0.15">
      <c r="B60" t="s">
        <v>83</v>
      </c>
      <c r="C60" s="4" t="s">
        <v>221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>
        <v>1</v>
      </c>
      <c r="N60">
        <v>1</v>
      </c>
      <c r="O60">
        <v>1</v>
      </c>
      <c r="P60">
        <v>1</v>
      </c>
    </row>
    <row r="61" spans="1:16" x14ac:dyDescent="0.15">
      <c r="C61" s="4" t="s">
        <v>222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10.675000000000001</v>
      </c>
      <c r="J61" s="4">
        <v>10.675000000000001</v>
      </c>
      <c r="K61" s="4">
        <v>10.675000000000001</v>
      </c>
      <c r="L61" s="4">
        <v>10.675000000000001</v>
      </c>
      <c r="M61">
        <v>1</v>
      </c>
      <c r="N61">
        <v>1</v>
      </c>
      <c r="O61">
        <v>1</v>
      </c>
      <c r="P61">
        <v>1</v>
      </c>
    </row>
    <row r="62" spans="1:16" x14ac:dyDescent="0.15">
      <c r="C62" s="4"/>
      <c r="D62" s="4"/>
    </row>
    <row r="64" spans="1:16" x14ac:dyDescent="0.15">
      <c r="A64" s="10" t="s">
        <v>36</v>
      </c>
      <c r="B64" t="s">
        <v>217</v>
      </c>
      <c r="C64" s="4" t="s">
        <v>37</v>
      </c>
      <c r="D64" s="11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</row>
    <row r="65" spans="2:16" x14ac:dyDescent="0.15">
      <c r="C65" s="4" t="s">
        <v>38</v>
      </c>
      <c r="D65" s="12">
        <v>1.35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</row>
    <row r="66" spans="2:16" x14ac:dyDescent="0.15">
      <c r="C66" s="4" t="s">
        <v>39</v>
      </c>
      <c r="D66" s="12">
        <v>1.35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</row>
    <row r="67" spans="2:16" x14ac:dyDescent="0.15">
      <c r="C67" s="4" t="s">
        <v>40</v>
      </c>
      <c r="D67" s="12">
        <v>5.4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</row>
    <row r="68" spans="2:16" x14ac:dyDescent="0.15">
      <c r="B68" t="s">
        <v>15</v>
      </c>
      <c r="C68" s="4" t="s">
        <v>37</v>
      </c>
      <c r="D68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</row>
    <row r="69" spans="2:16" x14ac:dyDescent="0.15">
      <c r="C69" s="4" t="s">
        <v>38</v>
      </c>
      <c r="D69" s="12">
        <v>1.35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</row>
    <row r="70" spans="2:16" x14ac:dyDescent="0.15">
      <c r="C70" s="4" t="s">
        <v>39</v>
      </c>
      <c r="D70" s="12">
        <v>1.35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</row>
    <row r="71" spans="2:16" x14ac:dyDescent="0.15">
      <c r="C71" s="4" t="s">
        <v>40</v>
      </c>
      <c r="D71" s="12">
        <v>5.4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</row>
    <row r="72" spans="2:16" x14ac:dyDescent="0.15">
      <c r="B72" t="s">
        <v>16</v>
      </c>
      <c r="C72" s="4" t="s">
        <v>37</v>
      </c>
      <c r="D72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</row>
    <row r="73" spans="2:16" x14ac:dyDescent="0.15">
      <c r="C73" s="4" t="s">
        <v>38</v>
      </c>
      <c r="D73" s="12">
        <v>1.35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</row>
    <row r="74" spans="2:16" x14ac:dyDescent="0.15">
      <c r="C74" s="4" t="s">
        <v>39</v>
      </c>
      <c r="D74" s="12">
        <v>1.35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</row>
    <row r="75" spans="2:16" x14ac:dyDescent="0.15">
      <c r="C75" s="4" t="s">
        <v>40</v>
      </c>
      <c r="D75" s="12">
        <v>5.4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</row>
    <row r="76" spans="2:16" x14ac:dyDescent="0.15">
      <c r="B76" t="s">
        <v>21</v>
      </c>
      <c r="C76" s="4" t="s">
        <v>37</v>
      </c>
      <c r="D76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</row>
    <row r="77" spans="2:16" x14ac:dyDescent="0.15">
      <c r="C77" s="4" t="s">
        <v>38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</row>
    <row r="78" spans="2:16" x14ac:dyDescent="0.15">
      <c r="C78" s="4" t="s">
        <v>39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</row>
    <row r="79" spans="2:16" x14ac:dyDescent="0.15">
      <c r="C79" s="4" t="s">
        <v>40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</row>
    <row r="80" spans="2:16" x14ac:dyDescent="0.15">
      <c r="B80" t="s">
        <v>218</v>
      </c>
      <c r="C80" s="4" t="s">
        <v>37</v>
      </c>
      <c r="D80" s="4">
        <v>1</v>
      </c>
      <c r="E80">
        <v>1</v>
      </c>
      <c r="F80">
        <v>1</v>
      </c>
      <c r="G80">
        <v>1</v>
      </c>
      <c r="H80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</row>
    <row r="81" spans="1:16" x14ac:dyDescent="0.15">
      <c r="C81" s="4" t="s">
        <v>38</v>
      </c>
      <c r="D81" s="12">
        <v>1</v>
      </c>
      <c r="E81" s="12">
        <v>2.2799999999999998</v>
      </c>
      <c r="F81" s="11">
        <v>1</v>
      </c>
      <c r="G81" s="11">
        <v>1</v>
      </c>
      <c r="H81" s="11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</row>
    <row r="82" spans="1:16" x14ac:dyDescent="0.15">
      <c r="C82" s="4" t="s">
        <v>39</v>
      </c>
      <c r="D82" s="12">
        <v>1</v>
      </c>
      <c r="E82" s="12">
        <v>4.62</v>
      </c>
      <c r="F82" s="11">
        <v>1</v>
      </c>
      <c r="G82" s="11">
        <v>1</v>
      </c>
      <c r="H82" s="11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</row>
    <row r="83" spans="1:16" x14ac:dyDescent="0.15">
      <c r="C83" s="4" t="s">
        <v>40</v>
      </c>
      <c r="D83" s="12">
        <v>1</v>
      </c>
      <c r="E83" s="12">
        <v>10.52</v>
      </c>
      <c r="F83" s="11">
        <v>1.47</v>
      </c>
      <c r="G83" s="11">
        <v>2.57</v>
      </c>
      <c r="H83" s="11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</row>
    <row r="84" spans="1:16" x14ac:dyDescent="0.15">
      <c r="B84" t="s">
        <v>28</v>
      </c>
      <c r="C84" s="4" t="s">
        <v>37</v>
      </c>
      <c r="D84" s="4">
        <v>1</v>
      </c>
      <c r="E84">
        <v>1</v>
      </c>
      <c r="F84">
        <v>1</v>
      </c>
      <c r="G84">
        <v>1</v>
      </c>
      <c r="H8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</row>
    <row r="85" spans="1:16" x14ac:dyDescent="0.15">
      <c r="C85" s="4" t="s">
        <v>38</v>
      </c>
      <c r="D85" s="4">
        <v>1</v>
      </c>
      <c r="E85">
        <v>1.66</v>
      </c>
      <c r="F85">
        <v>1</v>
      </c>
      <c r="G85">
        <v>1</v>
      </c>
      <c r="H85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</row>
    <row r="86" spans="1:16" x14ac:dyDescent="0.15">
      <c r="C86" s="4" t="s">
        <v>39</v>
      </c>
      <c r="D86" s="4">
        <v>1</v>
      </c>
      <c r="E86">
        <v>2.5</v>
      </c>
      <c r="F86">
        <v>1</v>
      </c>
      <c r="G86">
        <v>1</v>
      </c>
      <c r="H86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</row>
    <row r="87" spans="1:16" x14ac:dyDescent="0.15">
      <c r="C87" s="4" t="s">
        <v>40</v>
      </c>
      <c r="D87" s="4">
        <v>1</v>
      </c>
      <c r="E87">
        <v>14.97</v>
      </c>
      <c r="F87">
        <v>1.92</v>
      </c>
      <c r="G87">
        <v>1.92</v>
      </c>
      <c r="H87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</row>
    <row r="88" spans="1:16" x14ac:dyDescent="0.15">
      <c r="B88" t="s">
        <v>29</v>
      </c>
      <c r="C88" s="4" t="s">
        <v>37</v>
      </c>
      <c r="D88" s="4">
        <v>1</v>
      </c>
      <c r="E88">
        <v>1</v>
      </c>
      <c r="F88">
        <v>1</v>
      </c>
      <c r="G88">
        <v>1</v>
      </c>
      <c r="H88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</row>
    <row r="89" spans="1:16" x14ac:dyDescent="0.15">
      <c r="C89" s="4" t="s">
        <v>38</v>
      </c>
      <c r="D89" s="4">
        <v>1</v>
      </c>
      <c r="E89">
        <v>1.48</v>
      </c>
      <c r="F89">
        <v>1</v>
      </c>
      <c r="G89">
        <v>1</v>
      </c>
      <c r="H89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</row>
    <row r="90" spans="1:16" x14ac:dyDescent="0.15">
      <c r="C90" s="4" t="s">
        <v>39</v>
      </c>
      <c r="D90" s="4">
        <v>1</v>
      </c>
      <c r="E90">
        <v>2.84</v>
      </c>
      <c r="F90">
        <v>1</v>
      </c>
      <c r="G90">
        <v>1</v>
      </c>
      <c r="H90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</row>
    <row r="91" spans="1:16" x14ac:dyDescent="0.15">
      <c r="C91" s="4" t="s">
        <v>40</v>
      </c>
      <c r="D91" s="4">
        <v>1</v>
      </c>
      <c r="E91">
        <v>14.4</v>
      </c>
      <c r="F91">
        <v>3.69</v>
      </c>
      <c r="G91">
        <v>3.69</v>
      </c>
      <c r="H91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</row>
    <row r="94" spans="1:16" x14ac:dyDescent="0.15">
      <c r="A94" s="10" t="s">
        <v>227</v>
      </c>
      <c r="B94" s="11" t="s">
        <v>228</v>
      </c>
      <c r="C94" s="4" t="s">
        <v>37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15">
      <c r="C95" s="4" t="s">
        <v>38</v>
      </c>
      <c r="D95">
        <v>1.26</v>
      </c>
      <c r="E95">
        <v>1.26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15">
      <c r="C96" s="4" t="s">
        <v>39</v>
      </c>
      <c r="D96">
        <v>1.68</v>
      </c>
      <c r="E96">
        <v>1.68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15">
      <c r="C97" s="4" t="s">
        <v>40</v>
      </c>
      <c r="D97">
        <v>2.65</v>
      </c>
      <c r="E97">
        <v>2.65</v>
      </c>
      <c r="F97">
        <v>2.0699999999999998</v>
      </c>
      <c r="G97">
        <v>2.0699999999999998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100" spans="1:16" x14ac:dyDescent="0.15">
      <c r="A100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G25"/>
  <sheetViews>
    <sheetView workbookViewId="0">
      <selection activeCell="A18" sqref="A18:G18"/>
    </sheetView>
  </sheetViews>
  <sheetFormatPr baseColWidth="10" defaultColWidth="11.5" defaultRowHeight="13" x14ac:dyDescent="0.15"/>
  <cols>
    <col min="1" max="1" width="36.6640625" customWidth="1"/>
    <col min="2" max="2" width="76.3320312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 x14ac:dyDescent="0.15">
      <c r="A1" s="10" t="s">
        <v>48</v>
      </c>
      <c r="B1" s="1" t="s">
        <v>229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230</v>
      </c>
      <c r="B2" t="s">
        <v>61</v>
      </c>
      <c r="C2" s="15"/>
      <c r="D2" s="4">
        <v>45</v>
      </c>
      <c r="E2" s="4">
        <v>361.6</v>
      </c>
      <c r="F2" s="4">
        <v>174.7</v>
      </c>
      <c r="G2" s="4">
        <v>174.7</v>
      </c>
    </row>
    <row r="3" spans="1:7" x14ac:dyDescent="0.15">
      <c r="B3" s="4"/>
    </row>
    <row r="4" spans="1:7" x14ac:dyDescent="0.15">
      <c r="A4" s="10" t="s">
        <v>231</v>
      </c>
      <c r="B4" s="4" t="s">
        <v>218</v>
      </c>
      <c r="C4">
        <v>1.024</v>
      </c>
      <c r="D4">
        <v>1.024</v>
      </c>
      <c r="E4">
        <v>1.024</v>
      </c>
      <c r="F4">
        <v>1.024</v>
      </c>
      <c r="G4">
        <v>1.024</v>
      </c>
    </row>
    <row r="6" spans="1:7" x14ac:dyDescent="0.15">
      <c r="A6" s="10" t="s">
        <v>176</v>
      </c>
      <c r="B6" s="4" t="s">
        <v>44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15">
      <c r="B7" s="4" t="s">
        <v>45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 x14ac:dyDescent="0.15">
      <c r="B8" s="4" t="s">
        <v>106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 x14ac:dyDescent="0.15">
      <c r="B9" s="4" t="s">
        <v>100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 x14ac:dyDescent="0.15">
      <c r="B10" s="4" t="s">
        <v>46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1" spans="1:7" x14ac:dyDescent="0.15">
      <c r="B11" s="4"/>
      <c r="C11" s="4"/>
      <c r="D11" s="4"/>
      <c r="E11" s="4"/>
      <c r="F11" s="4"/>
      <c r="G11" s="4"/>
    </row>
    <row r="12" spans="1:7" x14ac:dyDescent="0.15">
      <c r="A12" s="10" t="s">
        <v>232</v>
      </c>
      <c r="B12" s="4" t="s">
        <v>136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  <row r="13" spans="1:7" x14ac:dyDescent="0.15">
      <c r="B13" s="48" t="s">
        <v>53</v>
      </c>
      <c r="C13" s="4">
        <v>1</v>
      </c>
      <c r="D13" s="4">
        <v>1</v>
      </c>
      <c r="E13" s="4">
        <v>0.77</v>
      </c>
      <c r="F13" s="4">
        <v>0.77</v>
      </c>
      <c r="G13" s="4">
        <v>1</v>
      </c>
    </row>
    <row r="14" spans="1:7" x14ac:dyDescent="0.15">
      <c r="B14" s="48" t="s">
        <v>123</v>
      </c>
      <c r="C14" s="4">
        <v>1</v>
      </c>
      <c r="D14" s="4">
        <v>1</v>
      </c>
      <c r="E14" s="4">
        <v>0.89</v>
      </c>
      <c r="F14" s="4">
        <v>0.89</v>
      </c>
      <c r="G14" s="4">
        <v>1</v>
      </c>
    </row>
    <row r="15" spans="1:7" x14ac:dyDescent="0.15">
      <c r="B15" s="48" t="s">
        <v>74</v>
      </c>
      <c r="C15" s="4">
        <v>1</v>
      </c>
      <c r="D15" s="4">
        <v>1</v>
      </c>
      <c r="E15" s="4">
        <v>0.89</v>
      </c>
      <c r="F15" s="4">
        <v>0.89</v>
      </c>
      <c r="G15" s="4">
        <v>1</v>
      </c>
    </row>
    <row r="16" spans="1:7" x14ac:dyDescent="0.15">
      <c r="B16" s="48" t="s">
        <v>132</v>
      </c>
      <c r="C16" s="4">
        <v>1</v>
      </c>
      <c r="D16" s="4">
        <v>1</v>
      </c>
      <c r="E16" s="4">
        <v>0.89</v>
      </c>
      <c r="F16" s="4">
        <v>0.89</v>
      </c>
      <c r="G16" s="4">
        <v>1</v>
      </c>
    </row>
    <row r="18" spans="1:7" ht="16" x14ac:dyDescent="0.2">
      <c r="A18" s="154" t="s">
        <v>233</v>
      </c>
      <c r="B18" s="155" t="s">
        <v>274</v>
      </c>
      <c r="C18" s="156">
        <v>1.5</v>
      </c>
      <c r="D18" s="156">
        <v>1.39</v>
      </c>
      <c r="E18" s="155">
        <v>1</v>
      </c>
      <c r="F18" s="155">
        <v>1</v>
      </c>
      <c r="G18" s="155">
        <v>1</v>
      </c>
    </row>
    <row r="19" spans="1:7" ht="14" customHeight="1" x14ac:dyDescent="0.15"/>
    <row r="21" spans="1:7" x14ac:dyDescent="0.15">
      <c r="A21" s="10" t="s">
        <v>145</v>
      </c>
      <c r="B21" s="4" t="s">
        <v>218</v>
      </c>
      <c r="C21">
        <v>1.024</v>
      </c>
      <c r="D21">
        <v>1.024</v>
      </c>
      <c r="E21">
        <v>1.024</v>
      </c>
      <c r="F21">
        <v>1.024</v>
      </c>
      <c r="G21">
        <v>1.024</v>
      </c>
    </row>
    <row r="23" spans="1:7" x14ac:dyDescent="0.15">
      <c r="A23" s="10" t="s">
        <v>146</v>
      </c>
      <c r="B23" s="4" t="s">
        <v>218</v>
      </c>
      <c r="C23">
        <v>1.024</v>
      </c>
      <c r="D23">
        <v>1.024</v>
      </c>
      <c r="E23">
        <v>1.024</v>
      </c>
      <c r="F23">
        <v>1.024</v>
      </c>
      <c r="G23">
        <v>1.024</v>
      </c>
    </row>
    <row r="25" spans="1:7" x14ac:dyDescent="0.15">
      <c r="A25" s="10" t="s">
        <v>234</v>
      </c>
      <c r="B25" t="s">
        <v>219</v>
      </c>
      <c r="C25" s="31">
        <v>1</v>
      </c>
      <c r="D25" s="31">
        <v>1</v>
      </c>
      <c r="E25" s="31">
        <v>1</v>
      </c>
      <c r="F25" s="31">
        <v>1</v>
      </c>
      <c r="G25" s="31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1"/>
  <sheetViews>
    <sheetView workbookViewId="0">
      <selection activeCell="G44" sqref="G44"/>
    </sheetView>
  </sheetViews>
  <sheetFormatPr baseColWidth="10" defaultColWidth="11.5" defaultRowHeight="13" x14ac:dyDescent="0.15"/>
  <cols>
    <col min="1" max="1" width="43.33203125" customWidth="1"/>
    <col min="2" max="2" width="13.5" customWidth="1"/>
    <col min="3" max="3" width="13.1640625" customWidth="1"/>
  </cols>
  <sheetData>
    <row r="1" spans="1:10" x14ac:dyDescent="0.15">
      <c r="A1" s="10" t="s">
        <v>152</v>
      </c>
      <c r="B1" s="10" t="s">
        <v>155</v>
      </c>
      <c r="C1" s="10" t="s">
        <v>151</v>
      </c>
      <c r="D1" s="10" t="s">
        <v>6</v>
      </c>
      <c r="E1" s="10" t="s">
        <v>7</v>
      </c>
      <c r="F1" s="10" t="s">
        <v>8</v>
      </c>
      <c r="G1" s="10" t="s">
        <v>9</v>
      </c>
      <c r="H1" s="38" t="s">
        <v>10</v>
      </c>
    </row>
    <row r="2" spans="1:10" x14ac:dyDescent="0.15">
      <c r="A2" s="10" t="s">
        <v>153</v>
      </c>
      <c r="B2" s="159" t="s">
        <v>72</v>
      </c>
      <c r="C2" t="s">
        <v>149</v>
      </c>
      <c r="D2" s="37">
        <v>1</v>
      </c>
      <c r="E2" s="37">
        <v>1</v>
      </c>
      <c r="F2" s="37">
        <v>1</v>
      </c>
      <c r="G2" s="37">
        <v>1</v>
      </c>
      <c r="H2" s="37">
        <v>1</v>
      </c>
    </row>
    <row r="3" spans="1:10" x14ac:dyDescent="0.15">
      <c r="B3" s="159"/>
      <c r="C3" t="s">
        <v>150</v>
      </c>
      <c r="D3" s="37">
        <v>1</v>
      </c>
      <c r="E3" s="37">
        <v>1</v>
      </c>
      <c r="F3" s="37">
        <v>1</v>
      </c>
      <c r="G3" s="37">
        <v>1</v>
      </c>
      <c r="H3" s="37">
        <v>1</v>
      </c>
      <c r="J3" s="37"/>
    </row>
    <row r="4" spans="1:10" x14ac:dyDescent="0.15">
      <c r="B4" s="159"/>
      <c r="C4" t="s">
        <v>160</v>
      </c>
      <c r="D4" s="37">
        <v>1</v>
      </c>
      <c r="E4" s="37">
        <v>1</v>
      </c>
      <c r="F4" s="37">
        <v>1</v>
      </c>
      <c r="G4" s="37">
        <v>1</v>
      </c>
      <c r="H4" s="37">
        <v>1</v>
      </c>
      <c r="J4" s="37"/>
    </row>
    <row r="5" spans="1:10" x14ac:dyDescent="0.15">
      <c r="B5" s="159" t="s">
        <v>6</v>
      </c>
      <c r="C5" t="s">
        <v>149</v>
      </c>
      <c r="D5" s="37">
        <v>5.16</v>
      </c>
      <c r="E5" s="37">
        <v>1</v>
      </c>
      <c r="F5" s="37">
        <v>1</v>
      </c>
      <c r="G5" s="37">
        <v>1</v>
      </c>
      <c r="H5" s="39">
        <v>1</v>
      </c>
    </row>
    <row r="6" spans="1:10" x14ac:dyDescent="0.15">
      <c r="B6" s="159"/>
      <c r="C6" t="s">
        <v>150</v>
      </c>
      <c r="D6" s="37">
        <v>5.16</v>
      </c>
      <c r="E6" s="37">
        <v>1</v>
      </c>
      <c r="F6" s="37">
        <v>1</v>
      </c>
      <c r="G6" s="37">
        <v>1</v>
      </c>
      <c r="H6" s="39">
        <v>1</v>
      </c>
    </row>
    <row r="7" spans="1:10" x14ac:dyDescent="0.15">
      <c r="B7" s="159"/>
      <c r="C7" t="s">
        <v>160</v>
      </c>
      <c r="D7" s="37">
        <v>1</v>
      </c>
      <c r="E7" s="37">
        <v>1</v>
      </c>
      <c r="F7" s="37">
        <v>1</v>
      </c>
      <c r="G7" s="37">
        <v>1</v>
      </c>
      <c r="H7" s="37">
        <v>1</v>
      </c>
    </row>
    <row r="8" spans="1:10" x14ac:dyDescent="0.15">
      <c r="B8" s="159" t="s">
        <v>7</v>
      </c>
      <c r="C8" t="s">
        <v>149</v>
      </c>
      <c r="D8" s="37">
        <v>1</v>
      </c>
      <c r="E8" s="37">
        <v>5.16</v>
      </c>
      <c r="F8" s="37">
        <v>1</v>
      </c>
      <c r="G8" s="37">
        <v>1</v>
      </c>
      <c r="H8" s="39">
        <v>1</v>
      </c>
    </row>
    <row r="9" spans="1:10" x14ac:dyDescent="0.15">
      <c r="B9" s="159"/>
      <c r="C9" t="s">
        <v>150</v>
      </c>
      <c r="D9" s="37">
        <v>1</v>
      </c>
      <c r="E9" s="37">
        <v>5.16</v>
      </c>
      <c r="F9" s="37">
        <v>1</v>
      </c>
      <c r="G9" s="37">
        <v>1</v>
      </c>
      <c r="H9" s="39">
        <v>1</v>
      </c>
    </row>
    <row r="10" spans="1:10" x14ac:dyDescent="0.15">
      <c r="B10" s="159"/>
      <c r="C10" t="s">
        <v>160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</row>
    <row r="11" spans="1:10" x14ac:dyDescent="0.15">
      <c r="B11" s="159" t="s">
        <v>8</v>
      </c>
      <c r="C11" t="s">
        <v>149</v>
      </c>
      <c r="D11" s="37">
        <v>1</v>
      </c>
      <c r="E11" s="37">
        <v>1</v>
      </c>
      <c r="F11" s="37">
        <v>1.82</v>
      </c>
      <c r="G11" s="37">
        <v>1</v>
      </c>
      <c r="H11" s="39">
        <v>1</v>
      </c>
    </row>
    <row r="12" spans="1:10" x14ac:dyDescent="0.15">
      <c r="B12" s="159"/>
      <c r="C12" t="s">
        <v>150</v>
      </c>
      <c r="D12" s="37">
        <v>1</v>
      </c>
      <c r="E12" s="37">
        <v>1</v>
      </c>
      <c r="F12" s="37">
        <v>1.82</v>
      </c>
      <c r="G12" s="37">
        <v>1</v>
      </c>
      <c r="H12" s="39">
        <v>1</v>
      </c>
    </row>
    <row r="13" spans="1:10" x14ac:dyDescent="0.15">
      <c r="B13" s="159"/>
      <c r="C13" t="s">
        <v>160</v>
      </c>
      <c r="D13" s="37">
        <v>1</v>
      </c>
      <c r="E13" s="37">
        <v>1</v>
      </c>
      <c r="F13" s="37">
        <v>1</v>
      </c>
      <c r="G13" s="37">
        <v>1</v>
      </c>
      <c r="H13" s="37">
        <v>1</v>
      </c>
    </row>
    <row r="14" spans="1:10" x14ac:dyDescent="0.15">
      <c r="B14" s="159" t="s">
        <v>9</v>
      </c>
      <c r="C14" t="s">
        <v>149</v>
      </c>
      <c r="D14" s="37">
        <v>1</v>
      </c>
      <c r="E14" s="37">
        <v>1</v>
      </c>
      <c r="F14" s="37">
        <v>1</v>
      </c>
      <c r="G14" s="37">
        <v>1.82</v>
      </c>
      <c r="H14" s="39">
        <v>1</v>
      </c>
    </row>
    <row r="15" spans="1:10" x14ac:dyDescent="0.15">
      <c r="B15" s="159"/>
      <c r="C15" t="s">
        <v>150</v>
      </c>
      <c r="D15" s="37">
        <v>1</v>
      </c>
      <c r="E15" s="37">
        <v>1</v>
      </c>
      <c r="F15" s="37">
        <v>1</v>
      </c>
      <c r="G15" s="37">
        <v>1.82</v>
      </c>
      <c r="H15" s="39">
        <v>1</v>
      </c>
    </row>
    <row r="16" spans="1:10" x14ac:dyDescent="0.15">
      <c r="B16" s="159"/>
      <c r="C16" t="s">
        <v>160</v>
      </c>
      <c r="D16" s="37">
        <v>1</v>
      </c>
      <c r="E16" s="37">
        <v>1</v>
      </c>
      <c r="F16" s="37">
        <v>1</v>
      </c>
      <c r="G16" s="37">
        <v>1</v>
      </c>
      <c r="H16" s="37">
        <v>1</v>
      </c>
    </row>
    <row r="17" spans="1:8" x14ac:dyDescent="0.15">
      <c r="B17" s="96" t="s">
        <v>94</v>
      </c>
      <c r="C17" t="s">
        <v>160</v>
      </c>
      <c r="D17" s="43">
        <v>1.05</v>
      </c>
      <c r="E17" s="43">
        <v>1.05</v>
      </c>
      <c r="F17" s="43">
        <v>1.05</v>
      </c>
      <c r="G17" s="43">
        <v>1.05</v>
      </c>
      <c r="H17" s="43">
        <v>1</v>
      </c>
    </row>
    <row r="18" spans="1:8" x14ac:dyDescent="0.15">
      <c r="D18" s="39"/>
      <c r="E18" s="39"/>
      <c r="F18" s="39"/>
      <c r="G18" s="39"/>
      <c r="H18" s="39"/>
    </row>
    <row r="19" spans="1:8" x14ac:dyDescent="0.15">
      <c r="A19" s="41" t="s">
        <v>154</v>
      </c>
      <c r="B19" s="159" t="s">
        <v>72</v>
      </c>
      <c r="C19" t="s">
        <v>149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</row>
    <row r="20" spans="1:8" x14ac:dyDescent="0.15">
      <c r="B20" s="159"/>
      <c r="C20" t="s">
        <v>150</v>
      </c>
      <c r="D20" s="37">
        <v>1</v>
      </c>
      <c r="E20" s="37">
        <v>1</v>
      </c>
      <c r="F20" s="37">
        <v>1</v>
      </c>
      <c r="G20" s="37">
        <v>1</v>
      </c>
      <c r="H20" s="37">
        <v>1</v>
      </c>
    </row>
    <row r="21" spans="1:8" x14ac:dyDescent="0.15">
      <c r="B21" s="159"/>
      <c r="C21" t="s">
        <v>160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</row>
    <row r="22" spans="1:8" x14ac:dyDescent="0.15">
      <c r="B22" s="159" t="s">
        <v>6</v>
      </c>
      <c r="C22" t="s">
        <v>149</v>
      </c>
      <c r="D22" s="37">
        <v>1</v>
      </c>
      <c r="E22" s="37">
        <v>1</v>
      </c>
      <c r="F22" s="37">
        <v>1</v>
      </c>
      <c r="G22" s="37">
        <v>1</v>
      </c>
      <c r="H22" s="37">
        <v>1</v>
      </c>
    </row>
    <row r="23" spans="1:8" x14ac:dyDescent="0.15">
      <c r="B23" s="159"/>
      <c r="C23" t="s">
        <v>150</v>
      </c>
      <c r="D23" s="37">
        <v>1</v>
      </c>
      <c r="E23" s="37">
        <v>1</v>
      </c>
      <c r="F23" s="37">
        <v>1</v>
      </c>
      <c r="G23" s="37">
        <v>1</v>
      </c>
      <c r="H23" s="37">
        <v>1</v>
      </c>
    </row>
    <row r="24" spans="1:8" x14ac:dyDescent="0.15">
      <c r="B24" s="159"/>
      <c r="C24" t="s">
        <v>160</v>
      </c>
      <c r="D24" s="37">
        <v>1</v>
      </c>
      <c r="E24" s="37">
        <v>1</v>
      </c>
      <c r="F24" s="37">
        <v>1</v>
      </c>
      <c r="G24" s="37">
        <v>1</v>
      </c>
      <c r="H24" s="37">
        <v>1</v>
      </c>
    </row>
    <row r="25" spans="1:8" x14ac:dyDescent="0.15">
      <c r="B25" s="159" t="s">
        <v>7</v>
      </c>
      <c r="C25" t="s">
        <v>149</v>
      </c>
      <c r="D25" s="37">
        <v>1</v>
      </c>
      <c r="E25" s="37">
        <v>1</v>
      </c>
      <c r="F25" s="37">
        <v>1</v>
      </c>
      <c r="G25" s="37">
        <v>1</v>
      </c>
      <c r="H25" s="37">
        <v>1</v>
      </c>
    </row>
    <row r="26" spans="1:8" x14ac:dyDescent="0.15">
      <c r="B26" s="159"/>
      <c r="C26" t="s">
        <v>150</v>
      </c>
      <c r="D26" s="37">
        <v>1</v>
      </c>
      <c r="E26" s="37">
        <v>1</v>
      </c>
      <c r="F26" s="37">
        <v>1</v>
      </c>
      <c r="G26" s="37">
        <v>1</v>
      </c>
      <c r="H26" s="37">
        <v>1</v>
      </c>
    </row>
    <row r="27" spans="1:8" x14ac:dyDescent="0.15">
      <c r="B27" s="159"/>
      <c r="C27" t="s">
        <v>160</v>
      </c>
      <c r="D27" s="37">
        <v>1</v>
      </c>
      <c r="E27" s="37">
        <v>1</v>
      </c>
      <c r="F27" s="37">
        <v>1</v>
      </c>
      <c r="G27" s="37">
        <v>1</v>
      </c>
      <c r="H27" s="37">
        <v>1</v>
      </c>
    </row>
    <row r="28" spans="1:8" x14ac:dyDescent="0.15">
      <c r="B28" s="159" t="s">
        <v>8</v>
      </c>
      <c r="C28" t="s">
        <v>149</v>
      </c>
      <c r="D28" s="37">
        <v>1</v>
      </c>
      <c r="E28" s="37">
        <v>1</v>
      </c>
      <c r="F28" s="37">
        <v>1.82</v>
      </c>
      <c r="G28" s="37">
        <v>1</v>
      </c>
      <c r="H28" s="37">
        <v>1</v>
      </c>
    </row>
    <row r="29" spans="1:8" x14ac:dyDescent="0.15">
      <c r="B29" s="159"/>
      <c r="C29" t="s">
        <v>150</v>
      </c>
      <c r="D29" s="37">
        <v>1</v>
      </c>
      <c r="E29" s="37">
        <v>1</v>
      </c>
      <c r="F29" s="37">
        <v>1.82</v>
      </c>
      <c r="G29" s="37">
        <v>1</v>
      </c>
      <c r="H29" s="37">
        <v>1</v>
      </c>
    </row>
    <row r="30" spans="1:8" x14ac:dyDescent="0.15">
      <c r="B30" s="159"/>
      <c r="C30" t="s">
        <v>160</v>
      </c>
      <c r="D30" s="37">
        <v>1</v>
      </c>
      <c r="E30" s="37">
        <v>1</v>
      </c>
      <c r="F30" s="37">
        <v>1</v>
      </c>
      <c r="G30" s="37">
        <v>1</v>
      </c>
      <c r="H30" s="37">
        <v>1</v>
      </c>
    </row>
    <row r="31" spans="1:8" x14ac:dyDescent="0.15">
      <c r="B31" s="159" t="s">
        <v>9</v>
      </c>
      <c r="C31" t="s">
        <v>149</v>
      </c>
      <c r="D31" s="37">
        <v>1</v>
      </c>
      <c r="E31" s="37">
        <v>1</v>
      </c>
      <c r="F31" s="37">
        <v>1</v>
      </c>
      <c r="G31" s="37">
        <v>1.82</v>
      </c>
      <c r="H31" s="37">
        <v>1</v>
      </c>
    </row>
    <row r="32" spans="1:8" x14ac:dyDescent="0.15">
      <c r="B32" s="159"/>
      <c r="C32" t="s">
        <v>150</v>
      </c>
      <c r="D32" s="37">
        <v>1</v>
      </c>
      <c r="E32" s="37">
        <v>1</v>
      </c>
      <c r="F32" s="37">
        <v>1</v>
      </c>
      <c r="G32" s="37">
        <v>1.82</v>
      </c>
      <c r="H32" s="37">
        <v>1</v>
      </c>
    </row>
    <row r="33" spans="1:9" x14ac:dyDescent="0.15">
      <c r="B33" s="159"/>
      <c r="C33" t="s">
        <v>160</v>
      </c>
      <c r="D33" s="37">
        <v>1</v>
      </c>
      <c r="E33" s="37">
        <v>1</v>
      </c>
      <c r="F33" s="37">
        <v>1</v>
      </c>
      <c r="G33" s="37">
        <v>1</v>
      </c>
      <c r="H33" s="37">
        <v>1</v>
      </c>
    </row>
    <row r="34" spans="1:9" x14ac:dyDescent="0.15">
      <c r="B34" s="42" t="s">
        <v>94</v>
      </c>
      <c r="C34" t="s">
        <v>160</v>
      </c>
      <c r="D34" s="43">
        <v>1.05</v>
      </c>
      <c r="E34" s="43">
        <v>1.05</v>
      </c>
      <c r="F34" s="43">
        <v>1.05</v>
      </c>
      <c r="G34" s="43">
        <v>1.05</v>
      </c>
      <c r="H34" s="43">
        <v>1</v>
      </c>
    </row>
    <row r="36" spans="1:9" x14ac:dyDescent="0.15">
      <c r="A36" s="10" t="s">
        <v>183</v>
      </c>
      <c r="B36" s="159" t="s">
        <v>72</v>
      </c>
      <c r="C36" t="s">
        <v>149</v>
      </c>
      <c r="D36" s="37">
        <v>1</v>
      </c>
      <c r="E36" s="37">
        <v>1</v>
      </c>
      <c r="F36" s="37">
        <v>1</v>
      </c>
      <c r="G36" s="37">
        <v>1</v>
      </c>
      <c r="H36" s="37">
        <v>1</v>
      </c>
    </row>
    <row r="37" spans="1:9" x14ac:dyDescent="0.15">
      <c r="B37" s="159"/>
      <c r="C37" t="s">
        <v>150</v>
      </c>
      <c r="D37" s="37">
        <v>1</v>
      </c>
      <c r="E37" s="37">
        <v>1</v>
      </c>
      <c r="F37" s="37">
        <v>1</v>
      </c>
      <c r="G37" s="37">
        <v>1</v>
      </c>
      <c r="H37" s="37">
        <v>1</v>
      </c>
    </row>
    <row r="38" spans="1:9" x14ac:dyDescent="0.15">
      <c r="B38" s="159"/>
      <c r="C38" t="s">
        <v>160</v>
      </c>
      <c r="D38" s="37">
        <v>1</v>
      </c>
      <c r="E38" s="37">
        <v>1</v>
      </c>
      <c r="F38" s="37">
        <v>1</v>
      </c>
      <c r="G38" s="37">
        <v>1</v>
      </c>
      <c r="H38" s="37">
        <v>1</v>
      </c>
      <c r="I38" s="37"/>
    </row>
    <row r="39" spans="1:9" x14ac:dyDescent="0.15">
      <c r="B39" s="159" t="s">
        <v>6</v>
      </c>
      <c r="C39" t="s">
        <v>149</v>
      </c>
      <c r="D39" s="37">
        <v>1</v>
      </c>
      <c r="E39" s="37">
        <v>1</v>
      </c>
      <c r="F39" s="37">
        <v>1</v>
      </c>
      <c r="G39" s="37">
        <v>1</v>
      </c>
      <c r="H39" s="37">
        <v>1</v>
      </c>
    </row>
    <row r="40" spans="1:9" x14ac:dyDescent="0.15">
      <c r="B40" s="159"/>
      <c r="C40" t="s">
        <v>150</v>
      </c>
      <c r="D40" s="37">
        <v>1</v>
      </c>
      <c r="E40" s="37">
        <v>1</v>
      </c>
      <c r="F40" s="37">
        <v>1</v>
      </c>
      <c r="G40" s="37">
        <v>1</v>
      </c>
      <c r="H40" s="37">
        <v>1</v>
      </c>
    </row>
    <row r="41" spans="1:9" x14ac:dyDescent="0.15">
      <c r="B41" s="159"/>
      <c r="C41" t="s">
        <v>160</v>
      </c>
      <c r="D41" s="37">
        <v>1</v>
      </c>
      <c r="E41" s="37">
        <v>1</v>
      </c>
      <c r="F41" s="37">
        <v>1</v>
      </c>
      <c r="G41" s="37">
        <v>1</v>
      </c>
      <c r="H41" s="37">
        <v>1</v>
      </c>
    </row>
    <row r="42" spans="1:9" x14ac:dyDescent="0.15">
      <c r="B42" s="159" t="s">
        <v>7</v>
      </c>
      <c r="C42" t="s">
        <v>149</v>
      </c>
      <c r="D42" s="37">
        <v>1</v>
      </c>
      <c r="E42" s="37">
        <v>1</v>
      </c>
      <c r="F42" s="37">
        <v>1</v>
      </c>
      <c r="G42" s="37">
        <v>1</v>
      </c>
      <c r="H42" s="37">
        <v>1</v>
      </c>
    </row>
    <row r="43" spans="1:9" x14ac:dyDescent="0.15">
      <c r="B43" s="159"/>
      <c r="C43" t="s">
        <v>150</v>
      </c>
      <c r="D43" s="37">
        <v>1</v>
      </c>
      <c r="E43" s="37">
        <v>1</v>
      </c>
      <c r="F43" s="37">
        <v>1</v>
      </c>
      <c r="G43" s="37">
        <v>1</v>
      </c>
      <c r="H43" s="37">
        <v>1</v>
      </c>
    </row>
    <row r="44" spans="1:9" x14ac:dyDescent="0.15">
      <c r="B44" s="159"/>
      <c r="C44" t="s">
        <v>160</v>
      </c>
      <c r="D44" s="37">
        <v>1</v>
      </c>
      <c r="E44" s="37">
        <v>1</v>
      </c>
      <c r="F44" s="37">
        <v>1</v>
      </c>
      <c r="G44" s="37">
        <v>1</v>
      </c>
      <c r="H44" s="37">
        <v>1</v>
      </c>
    </row>
    <row r="45" spans="1:9" x14ac:dyDescent="0.15">
      <c r="B45" s="159" t="s">
        <v>8</v>
      </c>
      <c r="C45" t="s">
        <v>149</v>
      </c>
      <c r="D45" s="37">
        <v>1</v>
      </c>
      <c r="E45" s="37">
        <v>1</v>
      </c>
      <c r="F45" s="37">
        <v>0.78</v>
      </c>
      <c r="G45" s="37">
        <v>1</v>
      </c>
      <c r="H45" s="37">
        <v>1</v>
      </c>
    </row>
    <row r="46" spans="1:9" x14ac:dyDescent="0.15">
      <c r="B46" s="159"/>
      <c r="C46" t="s">
        <v>150</v>
      </c>
      <c r="D46" s="37">
        <v>1</v>
      </c>
      <c r="E46" s="37">
        <v>1</v>
      </c>
      <c r="F46" s="37">
        <v>0.78</v>
      </c>
      <c r="G46" s="37">
        <v>1</v>
      </c>
      <c r="H46" s="37">
        <v>1</v>
      </c>
    </row>
    <row r="47" spans="1:9" x14ac:dyDescent="0.15">
      <c r="B47" s="159"/>
      <c r="C47" t="s">
        <v>160</v>
      </c>
      <c r="D47" s="37">
        <v>1</v>
      </c>
      <c r="E47" s="37">
        <v>1</v>
      </c>
      <c r="F47" s="37">
        <v>1</v>
      </c>
      <c r="G47" s="37">
        <v>1</v>
      </c>
      <c r="H47" s="37">
        <v>1</v>
      </c>
    </row>
    <row r="48" spans="1:9" x14ac:dyDescent="0.15">
      <c r="B48" s="159" t="s">
        <v>9</v>
      </c>
      <c r="C48" t="s">
        <v>149</v>
      </c>
      <c r="D48" s="37">
        <v>1</v>
      </c>
      <c r="E48" s="37">
        <v>1</v>
      </c>
      <c r="F48" s="37">
        <v>1</v>
      </c>
      <c r="G48" s="37">
        <v>0.78</v>
      </c>
      <c r="H48" s="37">
        <v>1</v>
      </c>
    </row>
    <row r="49" spans="2:8" x14ac:dyDescent="0.15">
      <c r="B49" s="159"/>
      <c r="C49" t="s">
        <v>150</v>
      </c>
      <c r="D49" s="37">
        <v>1</v>
      </c>
      <c r="E49" s="37">
        <v>1</v>
      </c>
      <c r="F49" s="37">
        <v>1</v>
      </c>
      <c r="G49" s="37">
        <v>0.78</v>
      </c>
      <c r="H49" s="37">
        <v>1</v>
      </c>
    </row>
    <row r="50" spans="2:8" x14ac:dyDescent="0.15">
      <c r="B50" s="159"/>
      <c r="C50" t="s">
        <v>160</v>
      </c>
      <c r="D50" s="37">
        <v>1</v>
      </c>
      <c r="E50" s="37">
        <v>1</v>
      </c>
      <c r="F50" s="37">
        <v>1</v>
      </c>
      <c r="G50" s="37">
        <v>1</v>
      </c>
      <c r="H50" s="37">
        <v>1</v>
      </c>
    </row>
    <row r="51" spans="2:8" x14ac:dyDescent="0.15">
      <c r="B51" s="96" t="s">
        <v>94</v>
      </c>
      <c r="C51" t="s">
        <v>160</v>
      </c>
      <c r="D51" s="51">
        <v>1</v>
      </c>
      <c r="E51" s="51">
        <v>1</v>
      </c>
      <c r="F51" s="51">
        <v>0.95</v>
      </c>
      <c r="G51" s="51">
        <v>0.95</v>
      </c>
      <c r="H51" s="51">
        <v>1</v>
      </c>
    </row>
  </sheetData>
  <mergeCells count="15">
    <mergeCell ref="B36:B38"/>
    <mergeCell ref="B39:B41"/>
    <mergeCell ref="B42:B44"/>
    <mergeCell ref="B45:B47"/>
    <mergeCell ref="B48:B50"/>
    <mergeCell ref="B25:B27"/>
    <mergeCell ref="B28:B30"/>
    <mergeCell ref="B31:B33"/>
    <mergeCell ref="B2:B4"/>
    <mergeCell ref="B5:B7"/>
    <mergeCell ref="B8:B10"/>
    <mergeCell ref="B11:B13"/>
    <mergeCell ref="B14:B16"/>
    <mergeCell ref="B19:B21"/>
    <mergeCell ref="B22:B24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1"/>
  <sheetViews>
    <sheetView zoomScale="133" workbookViewId="0">
      <selection activeCell="D10" sqref="D10"/>
    </sheetView>
  </sheetViews>
  <sheetFormatPr baseColWidth="10" defaultColWidth="11.5" defaultRowHeight="13" x14ac:dyDescent="0.15"/>
  <cols>
    <col min="1" max="1" width="17" customWidth="1"/>
    <col min="2" max="2" width="19.1640625" customWidth="1"/>
    <col min="3" max="3" width="13.5" customWidth="1"/>
  </cols>
  <sheetData>
    <row r="1" spans="1:5" x14ac:dyDescent="0.15">
      <c r="A1" s="10" t="s">
        <v>156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15">
      <c r="A2" s="52" t="s">
        <v>157</v>
      </c>
      <c r="B2" s="53" t="s">
        <v>72</v>
      </c>
      <c r="C2" s="53"/>
      <c r="D2" s="53"/>
      <c r="E2" s="54"/>
    </row>
    <row r="3" spans="1:5" x14ac:dyDescent="0.15">
      <c r="A3" s="55"/>
      <c r="B3" s="56" t="s">
        <v>6</v>
      </c>
      <c r="C3" s="56"/>
      <c r="D3" s="56" t="s">
        <v>161</v>
      </c>
      <c r="E3" s="57"/>
    </row>
    <row r="4" spans="1:5" x14ac:dyDescent="0.15">
      <c r="A4" s="55"/>
      <c r="B4" s="56" t="s">
        <v>7</v>
      </c>
      <c r="C4" s="56"/>
      <c r="D4" s="56" t="s">
        <v>161</v>
      </c>
      <c r="E4" s="57"/>
    </row>
    <row r="5" spans="1:5" x14ac:dyDescent="0.15">
      <c r="A5" s="55"/>
      <c r="B5" s="56" t="s">
        <v>8</v>
      </c>
      <c r="C5" s="56"/>
      <c r="D5" s="56" t="s">
        <v>161</v>
      </c>
      <c r="E5" s="57"/>
    </row>
    <row r="6" spans="1:5" x14ac:dyDescent="0.15">
      <c r="A6" s="55"/>
      <c r="B6" s="56" t="s">
        <v>9</v>
      </c>
      <c r="C6" s="56"/>
      <c r="D6" s="79" t="s">
        <v>161</v>
      </c>
      <c r="E6" s="57"/>
    </row>
    <row r="7" spans="1:5" x14ac:dyDescent="0.15">
      <c r="A7" s="58"/>
      <c r="B7" s="59" t="s">
        <v>94</v>
      </c>
      <c r="C7" s="60"/>
      <c r="D7" s="60"/>
      <c r="E7" s="61"/>
    </row>
    <row r="9" spans="1:5" x14ac:dyDescent="0.15">
      <c r="A9" s="52" t="s">
        <v>158</v>
      </c>
      <c r="B9" s="53" t="s">
        <v>72</v>
      </c>
      <c r="C9" s="53"/>
      <c r="D9" s="53"/>
      <c r="E9" s="54"/>
    </row>
    <row r="10" spans="1:5" x14ac:dyDescent="0.15">
      <c r="A10" s="55"/>
      <c r="B10" s="56" t="s">
        <v>6</v>
      </c>
      <c r="C10" s="56"/>
      <c r="D10" s="56"/>
      <c r="E10" s="57"/>
    </row>
    <row r="11" spans="1:5" x14ac:dyDescent="0.15">
      <c r="A11" s="55"/>
      <c r="B11" s="56" t="s">
        <v>7</v>
      </c>
      <c r="C11" s="56"/>
      <c r="D11" s="56"/>
      <c r="E11" s="57"/>
    </row>
    <row r="12" spans="1:5" x14ac:dyDescent="0.15">
      <c r="A12" s="55"/>
      <c r="B12" s="56" t="s">
        <v>8</v>
      </c>
      <c r="C12" s="56"/>
      <c r="D12" s="56"/>
      <c r="E12" s="57"/>
    </row>
    <row r="13" spans="1:5" x14ac:dyDescent="0.15">
      <c r="A13" s="55"/>
      <c r="B13" s="56" t="s">
        <v>9</v>
      </c>
      <c r="C13" s="56"/>
      <c r="D13" s="56"/>
      <c r="E13" s="57"/>
    </row>
    <row r="14" spans="1:5" x14ac:dyDescent="0.15">
      <c r="A14" s="58"/>
      <c r="B14" s="59" t="s">
        <v>94</v>
      </c>
      <c r="C14" s="60"/>
      <c r="D14" s="60"/>
      <c r="E14" s="61"/>
    </row>
    <row r="16" spans="1:5" x14ac:dyDescent="0.15">
      <c r="A16" s="52" t="s">
        <v>159</v>
      </c>
      <c r="B16" s="53" t="s">
        <v>72</v>
      </c>
      <c r="C16" s="53"/>
      <c r="D16" s="53"/>
      <c r="E16" s="54"/>
    </row>
    <row r="17" spans="1:5" x14ac:dyDescent="0.15">
      <c r="A17" s="55"/>
      <c r="B17" s="56" t="s">
        <v>6</v>
      </c>
      <c r="C17" s="56"/>
      <c r="D17" s="56"/>
      <c r="E17" s="57"/>
    </row>
    <row r="18" spans="1:5" x14ac:dyDescent="0.15">
      <c r="A18" s="55"/>
      <c r="B18" s="56" t="s">
        <v>7</v>
      </c>
      <c r="C18" s="56"/>
      <c r="D18" s="56"/>
      <c r="E18" s="57"/>
    </row>
    <row r="19" spans="1:5" x14ac:dyDescent="0.15">
      <c r="A19" s="55"/>
      <c r="B19" s="56" t="s">
        <v>8</v>
      </c>
      <c r="C19" s="56"/>
      <c r="D19" s="56"/>
      <c r="E19" s="57"/>
    </row>
    <row r="20" spans="1:5" x14ac:dyDescent="0.15">
      <c r="A20" s="55"/>
      <c r="B20" s="56" t="s">
        <v>9</v>
      </c>
      <c r="C20" s="56"/>
      <c r="D20" s="56"/>
      <c r="E20" s="57"/>
    </row>
    <row r="21" spans="1:5" x14ac:dyDescent="0.15">
      <c r="A21" s="58"/>
      <c r="B21" s="59" t="s">
        <v>94</v>
      </c>
      <c r="C21" s="60"/>
      <c r="D21" s="60"/>
      <c r="E21" s="61"/>
    </row>
  </sheetData>
  <pageMargins left="0.7" right="0.7" top="0.75" bottom="0.75" header="0.3" footer="0.3"/>
  <pageSetup paperSize="9"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workbookViewId="0">
      <selection activeCell="F15" sqref="F15"/>
    </sheetView>
  </sheetViews>
  <sheetFormatPr baseColWidth="10" defaultColWidth="11.5" defaultRowHeight="13" x14ac:dyDescent="0.15"/>
  <cols>
    <col min="1" max="1" width="18" customWidth="1"/>
  </cols>
  <sheetData>
    <row r="1" spans="1:5" x14ac:dyDescent="0.15">
      <c r="A1" s="10" t="s">
        <v>177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15">
      <c r="A2" s="10" t="s">
        <v>178</v>
      </c>
      <c r="B2" t="s">
        <v>72</v>
      </c>
      <c r="C2" s="23">
        <f>'Baseline year demographics'!C$10</f>
        <v>0.62808235294117642</v>
      </c>
      <c r="D2">
        <v>1</v>
      </c>
      <c r="E2">
        <v>1</v>
      </c>
    </row>
    <row r="3" spans="1:5" x14ac:dyDescent="0.15">
      <c r="B3" t="s">
        <v>6</v>
      </c>
      <c r="C3" s="23">
        <f>'Baseline year demographics'!C$11</f>
        <v>0.50329411764705889</v>
      </c>
      <c r="D3">
        <v>1</v>
      </c>
      <c r="E3">
        <v>1</v>
      </c>
    </row>
    <row r="4" spans="1:5" x14ac:dyDescent="0.15">
      <c r="B4" t="s">
        <v>7</v>
      </c>
      <c r="C4" s="23">
        <f>'Baseline year demographics'!C$11</f>
        <v>0.50329411764705889</v>
      </c>
      <c r="D4">
        <v>1</v>
      </c>
      <c r="E4">
        <v>1</v>
      </c>
    </row>
    <row r="5" spans="1:5" x14ac:dyDescent="0.15">
      <c r="B5" t="s">
        <v>8</v>
      </c>
      <c r="C5" s="23">
        <f>'Baseline year demographics'!C$11</f>
        <v>0.50329411764705889</v>
      </c>
      <c r="D5">
        <v>1</v>
      </c>
      <c r="E5">
        <v>1</v>
      </c>
    </row>
    <row r="6" spans="1:5" x14ac:dyDescent="0.15">
      <c r="B6" t="s">
        <v>9</v>
      </c>
      <c r="C6" s="23">
        <f>'Baseline year demographics'!C$11</f>
        <v>0.50329411764705889</v>
      </c>
      <c r="D6">
        <v>1</v>
      </c>
      <c r="E6">
        <v>1</v>
      </c>
    </row>
    <row r="8" spans="1:5" x14ac:dyDescent="0.15">
      <c r="A8" s="10" t="s">
        <v>179</v>
      </c>
      <c r="B8" t="s">
        <v>72</v>
      </c>
      <c r="C8">
        <f>1.5*0.61</f>
        <v>0.91500000000000004</v>
      </c>
      <c r="D8">
        <v>10.49</v>
      </c>
      <c r="E8">
        <v>0.05</v>
      </c>
    </row>
    <row r="9" spans="1:5" x14ac:dyDescent="0.15">
      <c r="B9" t="s">
        <v>6</v>
      </c>
      <c r="C9">
        <f t="shared" ref="C9:C12" si="0">1.5*0.61</f>
        <v>0.91500000000000004</v>
      </c>
      <c r="D9">
        <v>10.49</v>
      </c>
      <c r="E9">
        <v>0.05</v>
      </c>
    </row>
    <row r="10" spans="1:5" x14ac:dyDescent="0.15">
      <c r="B10" t="s">
        <v>7</v>
      </c>
      <c r="C10">
        <f t="shared" si="0"/>
        <v>0.91500000000000004</v>
      </c>
      <c r="D10">
        <v>10.49</v>
      </c>
      <c r="E10">
        <v>0.05</v>
      </c>
    </row>
    <row r="11" spans="1:5" x14ac:dyDescent="0.15">
      <c r="B11" t="s">
        <v>8</v>
      </c>
      <c r="C11">
        <f t="shared" si="0"/>
        <v>0.91500000000000004</v>
      </c>
      <c r="D11">
        <v>10.49</v>
      </c>
      <c r="E11">
        <v>0.05</v>
      </c>
    </row>
    <row r="12" spans="1:5" x14ac:dyDescent="0.15">
      <c r="B12" t="s">
        <v>9</v>
      </c>
      <c r="C12">
        <f t="shared" si="0"/>
        <v>0.91500000000000004</v>
      </c>
      <c r="D12">
        <v>10.49</v>
      </c>
      <c r="E12">
        <v>0.05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E6"/>
  <sheetViews>
    <sheetView workbookViewId="0">
      <selection activeCell="A3" sqref="A3"/>
    </sheetView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s="10" t="s">
        <v>235</v>
      </c>
      <c r="B1" s="10" t="s">
        <v>236</v>
      </c>
    </row>
    <row r="2" spans="1:5" ht="15" x14ac:dyDescent="0.2">
      <c r="A2" t="s">
        <v>6</v>
      </c>
      <c r="B2" s="6" t="s">
        <v>37</v>
      </c>
      <c r="C2" s="6"/>
      <c r="D2" s="6"/>
      <c r="E2" s="7"/>
    </row>
    <row r="3" spans="1:5" ht="15.75" customHeight="1" x14ac:dyDescent="0.2">
      <c r="A3" t="s">
        <v>7</v>
      </c>
      <c r="B3" s="6" t="s">
        <v>37</v>
      </c>
      <c r="C3" s="4"/>
      <c r="D3" s="4"/>
      <c r="E3" s="4"/>
    </row>
    <row r="4" spans="1:5" ht="15.75" customHeight="1" x14ac:dyDescent="0.2">
      <c r="A4" t="s">
        <v>8</v>
      </c>
      <c r="B4" s="6" t="s">
        <v>39</v>
      </c>
      <c r="C4" s="4"/>
      <c r="D4" s="4"/>
      <c r="E4" s="4"/>
    </row>
    <row r="5" spans="1:5" ht="15.75" customHeight="1" x14ac:dyDescent="0.2">
      <c r="A5" t="s">
        <v>9</v>
      </c>
      <c r="B5" s="6" t="s">
        <v>39</v>
      </c>
    </row>
    <row r="6" spans="1:5" ht="15.75" customHeight="1" x14ac:dyDescent="0.2">
      <c r="A6" t="s">
        <v>10</v>
      </c>
      <c r="B6" s="8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F15"/>
  <sheetViews>
    <sheetView workbookViewId="0">
      <selection activeCell="D11" sqref="D11"/>
    </sheetView>
  </sheetViews>
  <sheetFormatPr baseColWidth="10" defaultColWidth="14.5" defaultRowHeight="15.75" customHeight="1" x14ac:dyDescent="0.15"/>
  <cols>
    <col min="1" max="1" width="47" customWidth="1"/>
    <col min="7" max="7" width="15.5" customWidth="1"/>
    <col min="8" max="8" width="14.5" customWidth="1"/>
  </cols>
  <sheetData>
    <row r="1" spans="1:6" ht="15.75" customHeight="1" x14ac:dyDescent="0.15">
      <c r="A1" s="1" t="s">
        <v>237</v>
      </c>
      <c r="B1" s="10" t="s">
        <v>48</v>
      </c>
      <c r="C1" s="10" t="s">
        <v>17</v>
      </c>
      <c r="D1" s="10" t="s">
        <v>20</v>
      </c>
      <c r="E1" s="10" t="s">
        <v>19</v>
      </c>
      <c r="F1" s="1" t="s">
        <v>42</v>
      </c>
    </row>
    <row r="2" spans="1:6" ht="15.75" customHeight="1" x14ac:dyDescent="0.15">
      <c r="A2" t="s">
        <v>54</v>
      </c>
      <c r="B2" t="s">
        <v>49</v>
      </c>
      <c r="C2" s="9">
        <v>0.21</v>
      </c>
      <c r="D2" s="9">
        <v>0.21</v>
      </c>
      <c r="E2" s="9">
        <v>0</v>
      </c>
      <c r="F2" s="9">
        <v>0</v>
      </c>
    </row>
    <row r="3" spans="1:6" ht="15.75" customHeight="1" x14ac:dyDescent="0.15">
      <c r="B3" t="s">
        <v>51</v>
      </c>
      <c r="C3" s="9">
        <v>1</v>
      </c>
      <c r="D3" s="9">
        <v>1</v>
      </c>
      <c r="E3" s="9">
        <v>1</v>
      </c>
      <c r="F3" s="9">
        <v>1</v>
      </c>
    </row>
    <row r="4" spans="1:6" ht="15.75" customHeight="1" x14ac:dyDescent="0.15">
      <c r="A4" t="s">
        <v>131</v>
      </c>
      <c r="B4" t="s">
        <v>49</v>
      </c>
      <c r="C4" s="9">
        <v>0.23</v>
      </c>
      <c r="D4" s="9">
        <v>0.23</v>
      </c>
      <c r="E4" s="9">
        <v>0</v>
      </c>
      <c r="F4" s="9">
        <v>0</v>
      </c>
    </row>
    <row r="5" spans="1:6" ht="15.75" customHeight="1" x14ac:dyDescent="0.15">
      <c r="B5" t="s">
        <v>51</v>
      </c>
      <c r="C5" s="9">
        <v>1</v>
      </c>
      <c r="D5" s="9">
        <v>1</v>
      </c>
      <c r="E5" s="9">
        <v>1</v>
      </c>
      <c r="F5" s="9">
        <v>1</v>
      </c>
    </row>
    <row r="6" spans="1:6" ht="15.75" customHeight="1" x14ac:dyDescent="0.15">
      <c r="A6" t="s">
        <v>134</v>
      </c>
      <c r="B6" t="s">
        <v>49</v>
      </c>
      <c r="C6" s="9">
        <v>0.23</v>
      </c>
      <c r="D6" s="9">
        <v>0.23</v>
      </c>
      <c r="E6" s="9">
        <v>0</v>
      </c>
      <c r="F6" s="9">
        <v>0</v>
      </c>
    </row>
    <row r="7" spans="1:6" ht="15.75" customHeight="1" x14ac:dyDescent="0.15">
      <c r="B7" t="s">
        <v>51</v>
      </c>
      <c r="C7" s="9">
        <v>1</v>
      </c>
      <c r="D7" s="9">
        <v>1</v>
      </c>
      <c r="E7" s="9">
        <v>1</v>
      </c>
      <c r="F7" s="9">
        <v>1</v>
      </c>
    </row>
    <row r="8" spans="1:6" ht="15.75" customHeight="1" x14ac:dyDescent="0.15">
      <c r="A8" t="s">
        <v>76</v>
      </c>
      <c r="B8" t="s">
        <v>49</v>
      </c>
      <c r="C8" s="24">
        <v>0.15</v>
      </c>
      <c r="D8" s="24">
        <v>0.15</v>
      </c>
      <c r="E8" s="9">
        <v>0</v>
      </c>
      <c r="F8" s="9">
        <v>0</v>
      </c>
    </row>
    <row r="9" spans="1:6" ht="15.75" customHeight="1" x14ac:dyDescent="0.15">
      <c r="B9" t="s">
        <v>51</v>
      </c>
      <c r="C9" s="24">
        <v>1</v>
      </c>
      <c r="D9" s="24">
        <v>1</v>
      </c>
      <c r="E9" s="9">
        <v>1</v>
      </c>
      <c r="F9" s="9">
        <v>1</v>
      </c>
    </row>
    <row r="10" spans="1:6" ht="15.75" customHeight="1" x14ac:dyDescent="0.15">
      <c r="A10" t="s">
        <v>135</v>
      </c>
      <c r="B10" t="s">
        <v>49</v>
      </c>
      <c r="C10" s="24">
        <v>0.15</v>
      </c>
      <c r="D10" s="24">
        <v>0.15</v>
      </c>
      <c r="E10" s="9">
        <v>0</v>
      </c>
      <c r="F10" s="9">
        <v>0</v>
      </c>
    </row>
    <row r="11" spans="1:6" ht="15.75" customHeight="1" x14ac:dyDescent="0.15">
      <c r="B11" t="s">
        <v>51</v>
      </c>
      <c r="C11" s="24">
        <v>1</v>
      </c>
      <c r="D11" s="24">
        <v>1</v>
      </c>
      <c r="E11" s="9">
        <v>1</v>
      </c>
      <c r="F11" s="9">
        <v>1</v>
      </c>
    </row>
    <row r="12" spans="1:6" ht="15.75" customHeight="1" x14ac:dyDescent="0.15">
      <c r="A12" t="s">
        <v>115</v>
      </c>
      <c r="B12" t="s">
        <v>49</v>
      </c>
      <c r="C12" s="24">
        <v>0.35</v>
      </c>
      <c r="D12" s="24">
        <v>0.35</v>
      </c>
      <c r="E12" s="24">
        <v>0</v>
      </c>
      <c r="F12" s="24">
        <v>0</v>
      </c>
    </row>
    <row r="13" spans="1:6" ht="15.75" customHeight="1" x14ac:dyDescent="0.15">
      <c r="B13" t="s">
        <v>51</v>
      </c>
      <c r="C13">
        <f>'Baseline year demographics'!$C$9</f>
        <v>1</v>
      </c>
      <c r="D13">
        <f>'Baseline year demographics'!$C$9</f>
        <v>1</v>
      </c>
      <c r="E13" s="24">
        <v>0</v>
      </c>
      <c r="F13" s="24">
        <v>0</v>
      </c>
    </row>
    <row r="14" spans="1:6" ht="15.75" customHeight="1" x14ac:dyDescent="0.15">
      <c r="A14" s="4" t="s">
        <v>77</v>
      </c>
      <c r="B14" t="s">
        <v>49</v>
      </c>
      <c r="C14" s="24">
        <v>0.35</v>
      </c>
      <c r="D14" s="24">
        <v>0.35</v>
      </c>
      <c r="E14" s="24">
        <v>0</v>
      </c>
      <c r="F14" s="24">
        <v>0</v>
      </c>
    </row>
    <row r="15" spans="1:6" ht="15.75" customHeight="1" x14ac:dyDescent="0.15">
      <c r="B15" t="s">
        <v>51</v>
      </c>
      <c r="C15">
        <f>'Baseline year demographics'!$C$9</f>
        <v>1</v>
      </c>
      <c r="D15">
        <f>'Baseline year demographics'!$C$9</f>
        <v>1</v>
      </c>
      <c r="E15" s="24">
        <v>0</v>
      </c>
      <c r="F15" s="24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O40"/>
  <sheetViews>
    <sheetView workbookViewId="0">
      <selection activeCell="B34" sqref="B34"/>
    </sheetView>
  </sheetViews>
  <sheetFormatPr baseColWidth="10" defaultColWidth="11.5" defaultRowHeight="13" x14ac:dyDescent="0.15"/>
  <cols>
    <col min="1" max="1" width="11.83203125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5.1640625" bestFit="1" customWidth="1"/>
    <col min="12" max="15" width="13.83203125" bestFit="1" customWidth="1"/>
  </cols>
  <sheetData>
    <row r="1" spans="1:15" ht="14" customHeight="1" x14ac:dyDescent="0.15">
      <c r="A1" s="10" t="s">
        <v>48</v>
      </c>
      <c r="B1" s="10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107</v>
      </c>
      <c r="I1" s="10" t="s">
        <v>108</v>
      </c>
      <c r="J1" s="10" t="s">
        <v>109</v>
      </c>
      <c r="K1" s="10" t="s">
        <v>110</v>
      </c>
      <c r="L1" s="10" t="s">
        <v>111</v>
      </c>
      <c r="M1" s="10" t="s">
        <v>112</v>
      </c>
      <c r="N1" s="10" t="s">
        <v>113</v>
      </c>
      <c r="O1" s="10" t="s">
        <v>114</v>
      </c>
    </row>
    <row r="2" spans="1:15" x14ac:dyDescent="0.15">
      <c r="A2" s="10" t="s">
        <v>238</v>
      </c>
      <c r="B2" s="12" t="s">
        <v>76</v>
      </c>
      <c r="C2" s="11">
        <v>1</v>
      </c>
      <c r="D2" s="11">
        <v>1</v>
      </c>
      <c r="E2" s="106">
        <v>1</v>
      </c>
      <c r="F2" s="106">
        <v>1</v>
      </c>
      <c r="G2" s="106">
        <v>1</v>
      </c>
      <c r="H2" s="106">
        <v>1</v>
      </c>
      <c r="I2" s="106">
        <v>1</v>
      </c>
      <c r="J2" s="106">
        <v>1</v>
      </c>
      <c r="K2" s="106">
        <v>1</v>
      </c>
      <c r="L2" s="11">
        <v>0.33</v>
      </c>
      <c r="M2" s="11">
        <v>0.33</v>
      </c>
      <c r="N2" s="11">
        <v>0.33</v>
      </c>
      <c r="O2" s="11">
        <v>0.33</v>
      </c>
    </row>
    <row r="3" spans="1:15" x14ac:dyDescent="0.15">
      <c r="B3" s="12" t="s">
        <v>135</v>
      </c>
      <c r="C3" s="11">
        <v>1</v>
      </c>
      <c r="D3" s="11">
        <v>1</v>
      </c>
      <c r="E3" s="106">
        <v>1</v>
      </c>
      <c r="F3" s="106">
        <v>1</v>
      </c>
      <c r="G3" s="106">
        <v>1</v>
      </c>
      <c r="H3" s="106">
        <v>1</v>
      </c>
      <c r="I3" s="106">
        <v>1</v>
      </c>
      <c r="J3" s="106">
        <v>1</v>
      </c>
      <c r="K3" s="106">
        <v>1</v>
      </c>
      <c r="L3" s="11">
        <v>0.33</v>
      </c>
      <c r="M3" s="11">
        <v>0.33</v>
      </c>
      <c r="N3" s="11">
        <v>0.33</v>
      </c>
      <c r="O3" s="11">
        <v>0.33</v>
      </c>
    </row>
    <row r="4" spans="1:15" x14ac:dyDescent="0.15">
      <c r="B4" t="s">
        <v>131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11">
        <v>0.33</v>
      </c>
      <c r="M4" s="11">
        <v>0.33</v>
      </c>
      <c r="N4" s="11">
        <v>0.33</v>
      </c>
      <c r="O4" s="11">
        <v>0.33</v>
      </c>
    </row>
    <row r="5" spans="1:15" x14ac:dyDescent="0.15">
      <c r="B5" t="s">
        <v>134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11">
        <v>0.33</v>
      </c>
      <c r="M5" s="11">
        <v>0.33</v>
      </c>
      <c r="N5" s="11">
        <v>0.33</v>
      </c>
      <c r="O5" s="11">
        <v>0.33</v>
      </c>
    </row>
    <row r="6" spans="1:15" x14ac:dyDescent="0.15">
      <c r="B6" t="s">
        <v>115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0.83</v>
      </c>
      <c r="M6">
        <v>0.83</v>
      </c>
      <c r="N6">
        <v>0.83</v>
      </c>
      <c r="O6">
        <v>0.83</v>
      </c>
    </row>
    <row r="7" spans="1:15" x14ac:dyDescent="0.15">
      <c r="B7" t="s">
        <v>116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 x14ac:dyDescent="0.15">
      <c r="B8" t="s">
        <v>117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 x14ac:dyDescent="0.15">
      <c r="B9" t="s">
        <v>118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 x14ac:dyDescent="0.15">
      <c r="B10" t="s">
        <v>119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 x14ac:dyDescent="0.15">
      <c r="B11" t="s">
        <v>120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 x14ac:dyDescent="0.15">
      <c r="B12" t="s">
        <v>121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 x14ac:dyDescent="0.15">
      <c r="B13" t="s">
        <v>122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 x14ac:dyDescent="0.15">
      <c r="B14" t="s">
        <v>124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 x14ac:dyDescent="0.15">
      <c r="B15" t="s">
        <v>125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 x14ac:dyDescent="0.15">
      <c r="B16" t="s">
        <v>126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 x14ac:dyDescent="0.15">
      <c r="B17" t="s">
        <v>127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 x14ac:dyDescent="0.15">
      <c r="B18" t="s">
        <v>128</v>
      </c>
      <c r="C18">
        <v>1</v>
      </c>
      <c r="D18">
        <v>1</v>
      </c>
      <c r="E18">
        <v>1</v>
      </c>
      <c r="F18">
        <v>1</v>
      </c>
      <c r="G18">
        <v>1</v>
      </c>
      <c r="H18">
        <v>0.73</v>
      </c>
      <c r="I18">
        <v>0.73</v>
      </c>
      <c r="J18">
        <v>0.73</v>
      </c>
      <c r="K18">
        <v>0.73</v>
      </c>
      <c r="L18">
        <v>1</v>
      </c>
      <c r="M18">
        <v>1</v>
      </c>
      <c r="N18">
        <v>1</v>
      </c>
      <c r="O18">
        <v>1</v>
      </c>
    </row>
    <row r="19" spans="1:15" x14ac:dyDescent="0.15">
      <c r="B19" t="s">
        <v>129</v>
      </c>
      <c r="C19">
        <v>1</v>
      </c>
      <c r="D19">
        <v>1</v>
      </c>
      <c r="E19">
        <v>1</v>
      </c>
      <c r="F19">
        <v>1</v>
      </c>
      <c r="G19">
        <v>1</v>
      </c>
      <c r="H19">
        <v>0.73</v>
      </c>
      <c r="I19">
        <v>0.73</v>
      </c>
      <c r="J19">
        <v>0.73</v>
      </c>
      <c r="K19">
        <v>0.73</v>
      </c>
      <c r="L19">
        <v>1</v>
      </c>
      <c r="M19">
        <v>1</v>
      </c>
      <c r="N19">
        <v>1</v>
      </c>
      <c r="O19">
        <v>1</v>
      </c>
    </row>
    <row r="20" spans="1:15" x14ac:dyDescent="0.15">
      <c r="B20" t="s">
        <v>130</v>
      </c>
      <c r="C20">
        <v>1</v>
      </c>
      <c r="D20">
        <v>1</v>
      </c>
      <c r="E20">
        <v>1</v>
      </c>
      <c r="F20">
        <v>1</v>
      </c>
      <c r="G20">
        <v>1</v>
      </c>
      <c r="H20">
        <v>0.73</v>
      </c>
      <c r="I20">
        <v>0.73</v>
      </c>
      <c r="J20">
        <v>0.73</v>
      </c>
      <c r="K20">
        <v>0.73</v>
      </c>
      <c r="L20">
        <v>1</v>
      </c>
      <c r="M20">
        <v>1</v>
      </c>
      <c r="N20">
        <v>1</v>
      </c>
      <c r="O20">
        <v>1</v>
      </c>
    </row>
    <row r="21" spans="1:15" x14ac:dyDescent="0.15">
      <c r="B21" s="4" t="s">
        <v>74</v>
      </c>
      <c r="C21">
        <v>1</v>
      </c>
      <c r="D21">
        <v>1</v>
      </c>
      <c r="E21" s="11">
        <v>0.69</v>
      </c>
      <c r="F21" s="11">
        <v>0.69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ht="14" customHeight="1" x14ac:dyDescent="0.15">
      <c r="B22" s="4" t="s">
        <v>132</v>
      </c>
      <c r="C22">
        <v>1</v>
      </c>
      <c r="D22">
        <v>1</v>
      </c>
      <c r="E22" s="11">
        <v>0.69</v>
      </c>
      <c r="F22" s="11">
        <v>0.69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15">
      <c r="B23" s="11" t="s">
        <v>73</v>
      </c>
      <c r="C23">
        <v>1</v>
      </c>
      <c r="D23">
        <v>1</v>
      </c>
      <c r="E23">
        <v>0.69</v>
      </c>
      <c r="F23">
        <v>0.69</v>
      </c>
      <c r="G23">
        <v>0.69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15">
      <c r="B24" s="11" t="s">
        <v>133</v>
      </c>
      <c r="C24">
        <v>1</v>
      </c>
      <c r="D24">
        <v>1</v>
      </c>
      <c r="E24">
        <v>0.69</v>
      </c>
      <c r="F24">
        <v>0.69</v>
      </c>
      <c r="G24">
        <v>0.69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15">
      <c r="B25" s="11" t="s">
        <v>77</v>
      </c>
      <c r="C25">
        <v>0.83</v>
      </c>
      <c r="D25">
        <v>0.83</v>
      </c>
      <c r="E25">
        <v>0.83</v>
      </c>
      <c r="F25">
        <v>0.83</v>
      </c>
      <c r="G25">
        <v>0.83</v>
      </c>
      <c r="H25">
        <v>0.83</v>
      </c>
      <c r="I25">
        <v>0.83</v>
      </c>
      <c r="J25">
        <v>0.83</v>
      </c>
      <c r="K25">
        <v>0.83</v>
      </c>
      <c r="L25">
        <v>0.83</v>
      </c>
      <c r="M25">
        <v>0.83</v>
      </c>
      <c r="N25">
        <v>0.83</v>
      </c>
      <c r="O25">
        <v>0.83</v>
      </c>
    </row>
    <row r="27" spans="1:15" x14ac:dyDescent="0.15">
      <c r="A27" s="10" t="s">
        <v>239</v>
      </c>
      <c r="B27" s="4" t="s">
        <v>93</v>
      </c>
      <c r="C27">
        <v>1</v>
      </c>
      <c r="D27">
        <v>1</v>
      </c>
      <c r="E27" s="28">
        <v>0.9</v>
      </c>
      <c r="F27" s="28">
        <v>0.9</v>
      </c>
      <c r="G27" s="28">
        <v>0.9</v>
      </c>
      <c r="H27" s="28">
        <v>0.9</v>
      </c>
      <c r="I27" s="28">
        <v>0.9</v>
      </c>
      <c r="J27" s="28">
        <v>0.9</v>
      </c>
      <c r="K27" s="28">
        <v>0.9</v>
      </c>
      <c r="L27" s="28">
        <v>0.9</v>
      </c>
      <c r="M27" s="28">
        <v>0.9</v>
      </c>
      <c r="N27" s="28">
        <v>0.9</v>
      </c>
      <c r="O27" s="28">
        <v>0.9</v>
      </c>
    </row>
    <row r="28" spans="1:15" x14ac:dyDescent="0.15">
      <c r="B28" s="32" t="s">
        <v>140</v>
      </c>
      <c r="C28">
        <v>1</v>
      </c>
      <c r="D28">
        <v>1</v>
      </c>
      <c r="E28" s="27">
        <v>0.97599999999999998</v>
      </c>
      <c r="F28" s="27">
        <v>0.97599999999999998</v>
      </c>
      <c r="G28" s="27">
        <v>0.97599999999999998</v>
      </c>
      <c r="H28" s="27">
        <v>0.97599999999999998</v>
      </c>
      <c r="I28" s="27">
        <v>0.97599999999999998</v>
      </c>
      <c r="J28" s="27">
        <v>0.97599999999999998</v>
      </c>
      <c r="K28" s="27">
        <v>0.97599999999999998</v>
      </c>
      <c r="L28" s="27">
        <v>0.97599999999999998</v>
      </c>
      <c r="M28" s="27">
        <v>0.97599999999999998</v>
      </c>
      <c r="N28" s="27">
        <v>0.97599999999999998</v>
      </c>
      <c r="O28" s="27">
        <v>0.97599999999999998</v>
      </c>
    </row>
    <row r="29" spans="1:15" x14ac:dyDescent="0.15">
      <c r="B29" s="32" t="s">
        <v>141</v>
      </c>
      <c r="C29">
        <v>1</v>
      </c>
      <c r="D29">
        <v>1</v>
      </c>
      <c r="E29" s="27">
        <v>0.97599999999999998</v>
      </c>
      <c r="F29" s="27">
        <v>0.97599999999999998</v>
      </c>
      <c r="G29" s="27">
        <v>0.97599999999999998</v>
      </c>
      <c r="H29" s="27">
        <v>0.97599999999999998</v>
      </c>
      <c r="I29" s="27">
        <v>0.97599999999999998</v>
      </c>
      <c r="J29" s="27">
        <v>0.97599999999999998</v>
      </c>
      <c r="K29" s="27">
        <v>0.97599999999999998</v>
      </c>
      <c r="L29" s="27">
        <v>0.97599999999999998</v>
      </c>
      <c r="M29" s="27">
        <v>0.97599999999999998</v>
      </c>
      <c r="N29" s="27">
        <v>0.97599999999999998</v>
      </c>
      <c r="O29" s="27">
        <v>0.97599999999999998</v>
      </c>
    </row>
    <row r="30" spans="1:15" x14ac:dyDescent="0.15">
      <c r="B30" s="32" t="s">
        <v>142</v>
      </c>
      <c r="C30">
        <v>1</v>
      </c>
      <c r="D30">
        <v>1</v>
      </c>
      <c r="E30" s="27">
        <v>0.97599999999999998</v>
      </c>
      <c r="F30" s="27">
        <v>0.97599999999999998</v>
      </c>
      <c r="G30" s="27">
        <v>0.97599999999999998</v>
      </c>
      <c r="H30" s="27">
        <v>0.97599999999999998</v>
      </c>
      <c r="I30" s="27">
        <v>0.97599999999999998</v>
      </c>
      <c r="J30" s="27">
        <v>0.97599999999999998</v>
      </c>
      <c r="K30" s="27">
        <v>0.97599999999999998</v>
      </c>
      <c r="L30" s="27">
        <v>0.97599999999999998</v>
      </c>
      <c r="M30" s="27">
        <v>0.97599999999999998</v>
      </c>
      <c r="N30" s="27">
        <v>0.97599999999999998</v>
      </c>
      <c r="O30" s="27">
        <v>0.97599999999999998</v>
      </c>
    </row>
    <row r="37" spans="2:2" x14ac:dyDescent="0.15">
      <c r="B37" s="4"/>
    </row>
    <row r="38" spans="2:2" x14ac:dyDescent="0.15">
      <c r="B38" s="4"/>
    </row>
    <row r="39" spans="2:2" x14ac:dyDescent="0.15">
      <c r="B39" s="4"/>
    </row>
    <row r="40" spans="2:2" x14ac:dyDescent="0.15">
      <c r="B40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G4"/>
  <sheetViews>
    <sheetView workbookViewId="0">
      <selection activeCell="D3" sqref="D3"/>
    </sheetView>
  </sheetViews>
  <sheetFormatPr baseColWidth="10" defaultColWidth="11.5" defaultRowHeight="13" x14ac:dyDescent="0.15"/>
  <cols>
    <col min="1" max="1" width="32.83203125" customWidth="1"/>
    <col min="2" max="2" width="34.1640625" customWidth="1"/>
  </cols>
  <sheetData>
    <row r="1" spans="1:7" x14ac:dyDescent="0.15">
      <c r="A1" s="10" t="s">
        <v>48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261</v>
      </c>
      <c r="B2" s="31" t="s">
        <v>148</v>
      </c>
      <c r="C2" s="31">
        <v>1</v>
      </c>
      <c r="D2" s="31">
        <v>0.21</v>
      </c>
      <c r="E2" s="31">
        <v>0.21</v>
      </c>
      <c r="F2" s="31">
        <v>0.21</v>
      </c>
      <c r="G2" s="31">
        <v>0.21</v>
      </c>
    </row>
    <row r="4" spans="1:7" x14ac:dyDescent="0.15">
      <c r="A4" s="10" t="s">
        <v>262</v>
      </c>
      <c r="B4" s="32" t="s">
        <v>147</v>
      </c>
      <c r="C4" s="31">
        <v>1</v>
      </c>
      <c r="D4" s="31">
        <v>0.14299999999999999</v>
      </c>
      <c r="E4" s="31">
        <v>0.14299999999999999</v>
      </c>
      <c r="F4" s="31">
        <v>0.14299999999999999</v>
      </c>
      <c r="G4" s="31">
        <v>0.14299999999999999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I54"/>
  <sheetViews>
    <sheetView topLeftCell="A32" workbookViewId="0">
      <selection activeCell="A53" sqref="A53:H54"/>
    </sheetView>
  </sheetViews>
  <sheetFormatPr baseColWidth="10" defaultColWidth="11.5" defaultRowHeight="13" x14ac:dyDescent="0.15"/>
  <cols>
    <col min="1" max="1" width="39.1640625" customWidth="1"/>
    <col min="2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 x14ac:dyDescent="0.15">
      <c r="A1" s="1" t="s">
        <v>237</v>
      </c>
      <c r="B1" s="1" t="s">
        <v>5</v>
      </c>
      <c r="C1" s="1" t="s">
        <v>48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</row>
    <row r="2" spans="1:8" x14ac:dyDescent="0.15">
      <c r="A2" s="4" t="s">
        <v>47</v>
      </c>
      <c r="B2" s="4" t="s">
        <v>218</v>
      </c>
      <c r="C2" s="4" t="s">
        <v>98</v>
      </c>
      <c r="D2" s="4">
        <v>0</v>
      </c>
      <c r="E2" s="4">
        <v>0</v>
      </c>
      <c r="F2" s="4">
        <v>0.33500000000000002</v>
      </c>
      <c r="G2" s="107">
        <v>0.33500000000000002</v>
      </c>
      <c r="H2" s="107">
        <v>0.33500000000000002</v>
      </c>
    </row>
    <row r="3" spans="1:8" x14ac:dyDescent="0.15">
      <c r="C3" t="s">
        <v>62</v>
      </c>
      <c r="D3" s="4">
        <v>0</v>
      </c>
      <c r="E3" s="4">
        <v>0</v>
      </c>
      <c r="F3">
        <f>1-(0.822+0.335-1)/0.335</f>
        <v>0.53134328358208949</v>
      </c>
      <c r="G3">
        <f t="shared" ref="G3:H3" si="0">1-(0.822+0.335-1)/0.335</f>
        <v>0.53134328358208949</v>
      </c>
      <c r="H3">
        <f t="shared" si="0"/>
        <v>0.53134328358208949</v>
      </c>
    </row>
    <row r="4" spans="1:8" x14ac:dyDescent="0.15">
      <c r="A4" s="4"/>
      <c r="B4" s="4"/>
      <c r="C4" s="4" t="s">
        <v>63</v>
      </c>
      <c r="D4" s="4">
        <v>0</v>
      </c>
      <c r="E4" s="4">
        <v>0</v>
      </c>
      <c r="F4" s="4">
        <f>1-(0.871+F2-1)/F2</f>
        <v>0.38507462686567184</v>
      </c>
      <c r="G4" s="4">
        <f t="shared" ref="G4:H4" si="1">1-(0.871+G2-1)/G2</f>
        <v>0.38507462686567184</v>
      </c>
      <c r="H4" s="4">
        <f t="shared" si="1"/>
        <v>0.38507462686567184</v>
      </c>
    </row>
    <row r="5" spans="1:8" x14ac:dyDescent="0.15">
      <c r="A5" s="11"/>
      <c r="B5" s="31" t="s">
        <v>219</v>
      </c>
      <c r="C5" s="32" t="s">
        <v>98</v>
      </c>
      <c r="D5" s="32">
        <v>0</v>
      </c>
      <c r="E5" s="32">
        <v>0</v>
      </c>
      <c r="F5" s="32">
        <v>0.33500000000000002</v>
      </c>
      <c r="G5" s="33">
        <v>0.33500000000000002</v>
      </c>
      <c r="H5" s="33">
        <v>0.33500000000000002</v>
      </c>
    </row>
    <row r="6" spans="1:8" x14ac:dyDescent="0.15">
      <c r="A6" s="4" t="s">
        <v>123</v>
      </c>
      <c r="B6" s="4" t="s">
        <v>144</v>
      </c>
      <c r="C6" s="4" t="s">
        <v>98</v>
      </c>
      <c r="D6" s="32">
        <v>0</v>
      </c>
      <c r="E6" s="32">
        <v>0</v>
      </c>
      <c r="F6" s="32">
        <v>0.33500000000000002</v>
      </c>
      <c r="G6" s="33">
        <v>0.33500000000000002</v>
      </c>
      <c r="H6" s="33">
        <v>0.33500000000000002</v>
      </c>
    </row>
    <row r="7" spans="1:8" x14ac:dyDescent="0.15">
      <c r="C7" s="4" t="s">
        <v>63</v>
      </c>
      <c r="D7" s="32">
        <v>0</v>
      </c>
      <c r="E7" s="32">
        <v>0</v>
      </c>
      <c r="F7" s="12">
        <f>1-(0.913+0.335-1)/0.335</f>
        <v>0.25970149253731345</v>
      </c>
      <c r="G7" s="12">
        <f>1-(0.913+0.335-1)/0.335</f>
        <v>0.25970149253731345</v>
      </c>
      <c r="H7" s="32">
        <v>0</v>
      </c>
    </row>
    <row r="8" spans="1:8" x14ac:dyDescent="0.15">
      <c r="B8" t="s">
        <v>143</v>
      </c>
      <c r="C8" s="4" t="s">
        <v>98</v>
      </c>
      <c r="D8" s="32">
        <v>0</v>
      </c>
      <c r="E8" s="32">
        <v>0</v>
      </c>
      <c r="F8" s="32">
        <v>0.33500000000000002</v>
      </c>
      <c r="G8" s="33">
        <v>0.33500000000000002</v>
      </c>
      <c r="H8" s="33">
        <v>0.33500000000000002</v>
      </c>
    </row>
    <row r="9" spans="1:8" x14ac:dyDescent="0.15">
      <c r="C9" s="4" t="s">
        <v>63</v>
      </c>
      <c r="D9" s="32">
        <v>0</v>
      </c>
      <c r="E9" s="32">
        <v>0</v>
      </c>
      <c r="F9" s="12">
        <f>1-(0.913+0.335-1)/0.335</f>
        <v>0.25970149253731345</v>
      </c>
      <c r="G9" s="12">
        <f>1-(0.913+0.335-1)/0.335</f>
        <v>0.25970149253731345</v>
      </c>
      <c r="H9" s="32">
        <v>0</v>
      </c>
    </row>
    <row r="10" spans="1:8" x14ac:dyDescent="0.15">
      <c r="A10" s="4" t="s">
        <v>74</v>
      </c>
      <c r="B10" s="4" t="s">
        <v>144</v>
      </c>
      <c r="C10" s="4" t="s">
        <v>98</v>
      </c>
      <c r="D10" s="32">
        <v>0</v>
      </c>
      <c r="E10" s="32">
        <v>0</v>
      </c>
      <c r="F10" s="32">
        <v>0.33500000000000002</v>
      </c>
      <c r="G10" s="33">
        <v>0.33500000000000002</v>
      </c>
      <c r="H10" s="33">
        <v>0.33500000000000002</v>
      </c>
    </row>
    <row r="11" spans="1:8" x14ac:dyDescent="0.15">
      <c r="C11" s="4" t="s">
        <v>63</v>
      </c>
      <c r="D11" s="32">
        <v>0</v>
      </c>
      <c r="E11" s="32">
        <v>0</v>
      </c>
      <c r="F11" s="12">
        <f>1-(0.913+0.335-1)/0.335</f>
        <v>0.25970149253731345</v>
      </c>
      <c r="G11" s="12">
        <f>1-(0.913+0.335-1)/0.335</f>
        <v>0.25970149253731345</v>
      </c>
      <c r="H11" s="32">
        <v>0</v>
      </c>
    </row>
    <row r="12" spans="1:8" x14ac:dyDescent="0.15">
      <c r="B12" t="s">
        <v>143</v>
      </c>
      <c r="C12" s="4" t="s">
        <v>98</v>
      </c>
      <c r="D12" s="32">
        <v>0</v>
      </c>
      <c r="E12" s="32">
        <v>0</v>
      </c>
      <c r="F12" s="32">
        <v>0.33500000000000002</v>
      </c>
      <c r="G12" s="33">
        <v>0.33500000000000002</v>
      </c>
      <c r="H12" s="33">
        <v>0.33500000000000002</v>
      </c>
    </row>
    <row r="13" spans="1:8" x14ac:dyDescent="0.15">
      <c r="C13" s="4" t="s">
        <v>63</v>
      </c>
      <c r="D13" s="32">
        <v>0</v>
      </c>
      <c r="E13" s="32">
        <v>0</v>
      </c>
      <c r="F13" s="12">
        <f>1-(0.913+0.335-1)/0.335</f>
        <v>0.25970149253731345</v>
      </c>
      <c r="G13" s="12">
        <f>1-(0.913+0.335-1)/0.335</f>
        <v>0.25970149253731345</v>
      </c>
      <c r="H13" s="32">
        <v>0</v>
      </c>
    </row>
    <row r="14" spans="1:8" x14ac:dyDescent="0.15">
      <c r="A14" s="4" t="s">
        <v>132</v>
      </c>
      <c r="B14" s="4" t="s">
        <v>144</v>
      </c>
      <c r="C14" s="4" t="s">
        <v>98</v>
      </c>
      <c r="D14" s="32">
        <v>0</v>
      </c>
      <c r="E14" s="32">
        <v>0</v>
      </c>
      <c r="F14" s="32">
        <v>0.33500000000000002</v>
      </c>
      <c r="G14" s="33">
        <v>0.33500000000000002</v>
      </c>
      <c r="H14" s="33">
        <v>0.33500000000000002</v>
      </c>
    </row>
    <row r="15" spans="1:8" x14ac:dyDescent="0.15">
      <c r="C15" s="4" t="s">
        <v>63</v>
      </c>
      <c r="D15" s="32">
        <v>0</v>
      </c>
      <c r="E15" s="32">
        <v>0</v>
      </c>
      <c r="F15" s="12">
        <f>1-(0.913+0.335-1)/0.335</f>
        <v>0.25970149253731345</v>
      </c>
      <c r="G15" s="12">
        <f>1-(0.913+0.335-1)/0.335</f>
        <v>0.25970149253731345</v>
      </c>
      <c r="H15" s="32">
        <v>0</v>
      </c>
    </row>
    <row r="16" spans="1:8" x14ac:dyDescent="0.15">
      <c r="B16" t="s">
        <v>143</v>
      </c>
      <c r="C16" s="4" t="s">
        <v>98</v>
      </c>
      <c r="D16" s="32">
        <v>0</v>
      </c>
      <c r="E16" s="32">
        <v>0</v>
      </c>
      <c r="F16" s="32">
        <v>0.33500000000000002</v>
      </c>
      <c r="G16" s="33">
        <v>0.33500000000000002</v>
      </c>
      <c r="H16" s="33">
        <v>0.33500000000000002</v>
      </c>
    </row>
    <row r="17" spans="1:9" x14ac:dyDescent="0.15">
      <c r="C17" s="4" t="s">
        <v>63</v>
      </c>
      <c r="D17" s="32">
        <v>0</v>
      </c>
      <c r="E17" s="32">
        <v>0</v>
      </c>
      <c r="F17" s="12">
        <f>1-(0.913+0.335-1)/0.335</f>
        <v>0.25970149253731345</v>
      </c>
      <c r="G17" s="12">
        <f>1-(0.913+0.335-1)/0.335</f>
        <v>0.25970149253731345</v>
      </c>
      <c r="H17" s="32">
        <v>0</v>
      </c>
    </row>
    <row r="18" spans="1:9" x14ac:dyDescent="0.15">
      <c r="A18" t="s">
        <v>139</v>
      </c>
      <c r="B18" t="s">
        <v>144</v>
      </c>
      <c r="C18" s="4" t="s">
        <v>98</v>
      </c>
      <c r="D18" s="32">
        <v>0</v>
      </c>
      <c r="E18" s="32">
        <v>0</v>
      </c>
      <c r="F18" s="32">
        <v>0.33500000000000002</v>
      </c>
      <c r="G18" s="33">
        <v>0.33500000000000002</v>
      </c>
      <c r="H18" s="33">
        <v>0.33500000000000002</v>
      </c>
    </row>
    <row r="19" spans="1:9" x14ac:dyDescent="0.15">
      <c r="C19" s="4" t="s">
        <v>63</v>
      </c>
      <c r="D19" s="32">
        <v>0</v>
      </c>
      <c r="E19" s="32">
        <v>0</v>
      </c>
      <c r="F19" s="32">
        <v>0.7</v>
      </c>
      <c r="G19" s="32">
        <v>0.62</v>
      </c>
      <c r="H19" s="32">
        <v>0.62</v>
      </c>
      <c r="I19" s="11"/>
    </row>
    <row r="20" spans="1:9" x14ac:dyDescent="0.15">
      <c r="B20" t="s">
        <v>143</v>
      </c>
      <c r="C20" s="4" t="s">
        <v>98</v>
      </c>
      <c r="D20" s="34">
        <v>0</v>
      </c>
      <c r="E20" s="34">
        <v>0</v>
      </c>
      <c r="F20" s="34">
        <v>0.33500000000000002</v>
      </c>
      <c r="G20" s="35">
        <v>0.33500000000000002</v>
      </c>
      <c r="H20" s="35">
        <v>0.33500000000000002</v>
      </c>
      <c r="I20" s="11"/>
    </row>
    <row r="21" spans="1:9" x14ac:dyDescent="0.15">
      <c r="C21" s="4" t="s">
        <v>63</v>
      </c>
      <c r="D21" s="34">
        <v>0</v>
      </c>
      <c r="E21" s="34">
        <v>0</v>
      </c>
      <c r="F21" s="34">
        <v>0.84</v>
      </c>
      <c r="G21" s="34">
        <v>0.62</v>
      </c>
      <c r="H21" s="34">
        <v>0.62</v>
      </c>
      <c r="I21" s="11"/>
    </row>
    <row r="22" spans="1:9" x14ac:dyDescent="0.15">
      <c r="A22" s="12" t="s">
        <v>140</v>
      </c>
      <c r="B22" t="s">
        <v>43</v>
      </c>
      <c r="C22" s="4" t="s">
        <v>98</v>
      </c>
      <c r="D22" s="12">
        <v>0.7</v>
      </c>
      <c r="E22" s="12">
        <v>0</v>
      </c>
      <c r="F22" s="12">
        <v>0</v>
      </c>
      <c r="G22" s="12">
        <v>0</v>
      </c>
      <c r="H22" s="12">
        <v>0</v>
      </c>
      <c r="I22" s="11"/>
    </row>
    <row r="23" spans="1:9" x14ac:dyDescent="0.15">
      <c r="A23" s="12"/>
      <c r="C23" t="s">
        <v>62</v>
      </c>
      <c r="D23" s="12">
        <v>0.46</v>
      </c>
      <c r="E23" s="12">
        <v>0</v>
      </c>
      <c r="F23" s="12">
        <v>0</v>
      </c>
      <c r="G23" s="12">
        <v>0</v>
      </c>
      <c r="H23" s="12">
        <v>0</v>
      </c>
      <c r="I23" s="11"/>
    </row>
    <row r="24" spans="1:9" x14ac:dyDescent="0.15">
      <c r="A24" s="12" t="s">
        <v>141</v>
      </c>
      <c r="B24" t="s">
        <v>43</v>
      </c>
      <c r="C24" s="4" t="s">
        <v>98</v>
      </c>
      <c r="D24" s="12">
        <v>0.7</v>
      </c>
      <c r="E24" s="12">
        <v>0</v>
      </c>
      <c r="F24" s="12">
        <v>0</v>
      </c>
      <c r="G24" s="12">
        <v>0</v>
      </c>
      <c r="H24" s="12">
        <v>0</v>
      </c>
    </row>
    <row r="25" spans="1:9" x14ac:dyDescent="0.15">
      <c r="A25" s="12"/>
      <c r="C25" t="s">
        <v>62</v>
      </c>
      <c r="D25" s="12">
        <v>0.46</v>
      </c>
      <c r="E25" s="12">
        <v>0</v>
      </c>
      <c r="F25" s="12">
        <v>0</v>
      </c>
      <c r="G25" s="12">
        <v>0</v>
      </c>
      <c r="H25" s="12">
        <v>0</v>
      </c>
    </row>
    <row r="26" spans="1:9" x14ac:dyDescent="0.15">
      <c r="A26" s="12" t="s">
        <v>142</v>
      </c>
      <c r="B26" t="s">
        <v>43</v>
      </c>
      <c r="C26" s="4" t="s">
        <v>98</v>
      </c>
      <c r="D26" s="12">
        <v>0.7</v>
      </c>
      <c r="E26" s="12">
        <v>0</v>
      </c>
      <c r="F26" s="12">
        <v>0</v>
      </c>
      <c r="G26" s="12">
        <v>0</v>
      </c>
      <c r="H26" s="12">
        <v>0</v>
      </c>
    </row>
    <row r="27" spans="1:9" x14ac:dyDescent="0.15">
      <c r="C27" t="s">
        <v>62</v>
      </c>
      <c r="D27" s="12">
        <v>0.46</v>
      </c>
      <c r="E27" s="12">
        <v>0</v>
      </c>
      <c r="F27" s="12">
        <v>0</v>
      </c>
      <c r="G27" s="12">
        <v>0</v>
      </c>
      <c r="H27" s="12">
        <v>0</v>
      </c>
    </row>
    <row r="28" spans="1:9" x14ac:dyDescent="0.15">
      <c r="A28" t="s">
        <v>204</v>
      </c>
      <c r="B28" s="4" t="s">
        <v>218</v>
      </c>
      <c r="C28" s="4" t="s">
        <v>98</v>
      </c>
      <c r="D28" s="12">
        <v>1</v>
      </c>
      <c r="E28" s="12">
        <v>1</v>
      </c>
      <c r="F28" s="12">
        <v>1</v>
      </c>
      <c r="G28" s="12">
        <v>1</v>
      </c>
      <c r="H28" s="12">
        <v>1</v>
      </c>
    </row>
    <row r="29" spans="1:9" x14ac:dyDescent="0.15">
      <c r="C29" t="s">
        <v>62</v>
      </c>
      <c r="D29" s="12">
        <v>0.17</v>
      </c>
      <c r="E29" s="12">
        <v>0.17</v>
      </c>
      <c r="F29" s="12">
        <v>0.17</v>
      </c>
      <c r="G29" s="12">
        <v>0.17</v>
      </c>
      <c r="H29" s="12">
        <v>0.17</v>
      </c>
    </row>
    <row r="30" spans="1:9" x14ac:dyDescent="0.15">
      <c r="B30" s="4"/>
      <c r="C30" s="4" t="s">
        <v>63</v>
      </c>
      <c r="D30" s="12">
        <v>0.17</v>
      </c>
      <c r="E30" s="12">
        <v>0.17</v>
      </c>
      <c r="F30" s="12">
        <v>0.17</v>
      </c>
      <c r="G30" s="12">
        <v>0.17</v>
      </c>
      <c r="H30" s="12">
        <v>0.17</v>
      </c>
    </row>
    <row r="31" spans="1:9" x14ac:dyDescent="0.15">
      <c r="A31" t="s">
        <v>205</v>
      </c>
      <c r="B31" s="4" t="s">
        <v>218</v>
      </c>
      <c r="C31" s="4" t="s">
        <v>98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</row>
    <row r="32" spans="1:9" x14ac:dyDescent="0.15">
      <c r="C32" t="s">
        <v>62</v>
      </c>
      <c r="D32" s="12">
        <v>0.69</v>
      </c>
      <c r="E32" s="12">
        <v>0.69</v>
      </c>
      <c r="F32" s="12">
        <v>0.69</v>
      </c>
      <c r="G32" s="12">
        <v>0.69</v>
      </c>
      <c r="H32" s="12">
        <v>0.69</v>
      </c>
    </row>
    <row r="33" spans="1:8" x14ac:dyDescent="0.15">
      <c r="B33" s="4"/>
      <c r="C33" s="4" t="s">
        <v>63</v>
      </c>
      <c r="D33" s="12">
        <v>0.69</v>
      </c>
      <c r="E33" s="12">
        <v>0.69</v>
      </c>
      <c r="F33" s="12">
        <v>0.69</v>
      </c>
      <c r="G33" s="12">
        <v>0.69</v>
      </c>
      <c r="H33" s="12">
        <v>0.69</v>
      </c>
    </row>
    <row r="34" spans="1:8" x14ac:dyDescent="0.15">
      <c r="A34" t="s">
        <v>206</v>
      </c>
      <c r="B34" s="4" t="s">
        <v>218</v>
      </c>
      <c r="C34" s="4" t="s">
        <v>98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15">
      <c r="C35" t="s">
        <v>62</v>
      </c>
      <c r="D35" s="12">
        <v>0.36</v>
      </c>
      <c r="E35" s="12">
        <v>0.36</v>
      </c>
      <c r="F35" s="12">
        <v>0.36</v>
      </c>
      <c r="G35" s="12">
        <v>0.36</v>
      </c>
      <c r="H35" s="12">
        <v>0.36</v>
      </c>
    </row>
    <row r="36" spans="1:8" x14ac:dyDescent="0.15">
      <c r="B36" s="4"/>
      <c r="C36" s="4" t="s">
        <v>63</v>
      </c>
      <c r="D36" s="12">
        <v>0.36</v>
      </c>
      <c r="E36" s="12">
        <v>0.36</v>
      </c>
      <c r="F36" s="12">
        <v>0.36</v>
      </c>
      <c r="G36" s="12">
        <v>0.36</v>
      </c>
      <c r="H36" s="12">
        <v>0.36</v>
      </c>
    </row>
    <row r="37" spans="1:8" x14ac:dyDescent="0.15">
      <c r="A37" t="s">
        <v>207</v>
      </c>
      <c r="B37" s="4" t="s">
        <v>218</v>
      </c>
      <c r="C37" s="4" t="s">
        <v>98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15">
      <c r="C38" t="s">
        <v>62</v>
      </c>
      <c r="D38" s="12">
        <v>0.2</v>
      </c>
      <c r="E38" s="12">
        <v>0.2</v>
      </c>
      <c r="F38" s="12">
        <v>0.2</v>
      </c>
      <c r="G38" s="12">
        <v>0.2</v>
      </c>
      <c r="H38" s="12">
        <v>0.2</v>
      </c>
    </row>
    <row r="39" spans="1:8" x14ac:dyDescent="0.15">
      <c r="B39" s="4"/>
      <c r="C39" s="4" t="s">
        <v>63</v>
      </c>
      <c r="D39" s="12">
        <v>0.2</v>
      </c>
      <c r="E39" s="12">
        <v>0.2</v>
      </c>
      <c r="F39" s="12">
        <v>0.2</v>
      </c>
      <c r="G39" s="12">
        <v>0.2</v>
      </c>
      <c r="H39" s="12">
        <v>0.2</v>
      </c>
    </row>
    <row r="40" spans="1:8" x14ac:dyDescent="0.15">
      <c r="A40" t="s">
        <v>208</v>
      </c>
      <c r="B40" s="4" t="s">
        <v>218</v>
      </c>
      <c r="C40" s="4" t="s">
        <v>98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15">
      <c r="C41" t="s">
        <v>62</v>
      </c>
      <c r="D41" s="12">
        <v>0.48</v>
      </c>
      <c r="E41" s="12">
        <v>0.48</v>
      </c>
      <c r="F41" s="12">
        <v>0.48</v>
      </c>
      <c r="G41" s="12">
        <v>0.48</v>
      </c>
      <c r="H41" s="12">
        <v>0.48</v>
      </c>
    </row>
    <row r="42" spans="1:8" x14ac:dyDescent="0.15">
      <c r="B42" s="4"/>
      <c r="C42" s="4" t="s">
        <v>63</v>
      </c>
      <c r="D42" s="12">
        <v>0.48</v>
      </c>
      <c r="E42" s="12">
        <v>0.48</v>
      </c>
      <c r="F42" s="12">
        <v>0.48</v>
      </c>
      <c r="G42" s="12">
        <v>0.48</v>
      </c>
      <c r="H42" s="12">
        <v>0.48</v>
      </c>
    </row>
    <row r="43" spans="1:8" x14ac:dyDescent="0.15">
      <c r="A43" t="s">
        <v>136</v>
      </c>
      <c r="B43" s="4" t="s">
        <v>218</v>
      </c>
      <c r="C43" s="4" t="s">
        <v>98</v>
      </c>
      <c r="D43" s="12">
        <v>0.3</v>
      </c>
      <c r="E43" s="12">
        <v>0.3</v>
      </c>
      <c r="F43" s="12">
        <v>0.3</v>
      </c>
      <c r="G43" s="12">
        <v>0.3</v>
      </c>
      <c r="H43" s="12">
        <v>0.3</v>
      </c>
    </row>
    <row r="44" spans="1:8" x14ac:dyDescent="0.15">
      <c r="C44" t="s">
        <v>62</v>
      </c>
      <c r="D44" s="12">
        <v>0.5</v>
      </c>
      <c r="E44" s="12">
        <v>0.5</v>
      </c>
      <c r="F44" s="12">
        <v>0.5</v>
      </c>
      <c r="G44" s="12">
        <v>0.5</v>
      </c>
      <c r="H44" s="12">
        <v>0.5</v>
      </c>
    </row>
    <row r="45" spans="1:8" x14ac:dyDescent="0.15">
      <c r="C45" s="4" t="s">
        <v>63</v>
      </c>
      <c r="D45" s="12">
        <v>0.65</v>
      </c>
      <c r="E45" s="12">
        <v>0.65</v>
      </c>
      <c r="F45" s="12">
        <v>0.65</v>
      </c>
      <c r="G45" s="12">
        <v>0.65</v>
      </c>
      <c r="H45" s="12">
        <v>0.65</v>
      </c>
    </row>
    <row r="46" spans="1:8" x14ac:dyDescent="0.15">
      <c r="B46" s="4" t="s">
        <v>28</v>
      </c>
      <c r="C46" s="4" t="s">
        <v>98</v>
      </c>
      <c r="D46" s="12">
        <v>0.3</v>
      </c>
      <c r="E46" s="12">
        <v>0.3</v>
      </c>
      <c r="F46" s="12">
        <v>0.3</v>
      </c>
      <c r="G46" s="12">
        <v>0.3</v>
      </c>
      <c r="H46" s="12">
        <v>0.3</v>
      </c>
    </row>
    <row r="47" spans="1:8" x14ac:dyDescent="0.15">
      <c r="C47" t="s">
        <v>62</v>
      </c>
      <c r="D47" s="12">
        <v>0.49</v>
      </c>
      <c r="E47" s="12">
        <v>0.49</v>
      </c>
      <c r="F47" s="12">
        <v>0.49</v>
      </c>
      <c r="G47" s="12">
        <v>0.49</v>
      </c>
      <c r="H47" s="12">
        <v>0.49</v>
      </c>
    </row>
    <row r="48" spans="1:8" x14ac:dyDescent="0.15">
      <c r="C48" s="4" t="s">
        <v>63</v>
      </c>
      <c r="D48" s="12">
        <v>0.52</v>
      </c>
      <c r="E48" s="12">
        <v>0.52</v>
      </c>
      <c r="F48" s="12">
        <v>0.52</v>
      </c>
      <c r="G48" s="12">
        <v>0.52</v>
      </c>
      <c r="H48" s="12">
        <v>0.52</v>
      </c>
    </row>
    <row r="49" spans="1:8" x14ac:dyDescent="0.15">
      <c r="A49" t="s">
        <v>209</v>
      </c>
      <c r="B49" s="4" t="s">
        <v>218</v>
      </c>
      <c r="C49" s="4" t="s">
        <v>98</v>
      </c>
      <c r="D49" s="12">
        <v>0.88</v>
      </c>
      <c r="E49" s="12">
        <v>0.88</v>
      </c>
      <c r="F49" s="12">
        <v>0.88</v>
      </c>
      <c r="G49" s="12">
        <v>0.88</v>
      </c>
      <c r="H49" s="12">
        <v>0.88</v>
      </c>
    </row>
    <row r="50" spans="1:8" x14ac:dyDescent="0.15">
      <c r="C50" t="s">
        <v>62</v>
      </c>
      <c r="D50" s="12">
        <v>0.93</v>
      </c>
      <c r="E50" s="12">
        <v>0.93</v>
      </c>
      <c r="F50" s="12">
        <v>0.93</v>
      </c>
      <c r="G50" s="12">
        <v>0.93</v>
      </c>
      <c r="H50" s="12">
        <v>0.93</v>
      </c>
    </row>
    <row r="51" spans="1:8" x14ac:dyDescent="0.15">
      <c r="A51" t="s">
        <v>213</v>
      </c>
      <c r="B51" s="4" t="s">
        <v>218</v>
      </c>
      <c r="C51" s="4" t="s">
        <v>98</v>
      </c>
      <c r="D51" s="12">
        <v>1</v>
      </c>
      <c r="E51" s="12">
        <v>1</v>
      </c>
      <c r="F51" s="12">
        <v>1</v>
      </c>
      <c r="G51" s="12">
        <v>1</v>
      </c>
      <c r="H51" s="12">
        <v>1</v>
      </c>
    </row>
    <row r="52" spans="1:8" x14ac:dyDescent="0.15">
      <c r="C52" t="s">
        <v>62</v>
      </c>
      <c r="D52" s="12">
        <v>0.86</v>
      </c>
      <c r="E52" s="12">
        <v>0.86</v>
      </c>
      <c r="F52" s="12">
        <v>0.86</v>
      </c>
      <c r="G52" s="12">
        <v>0.86</v>
      </c>
      <c r="H52" s="12">
        <v>0.86</v>
      </c>
    </row>
    <row r="53" spans="1:8" x14ac:dyDescent="0.15">
      <c r="A53" s="155" t="s">
        <v>274</v>
      </c>
      <c r="B53" s="155" t="s">
        <v>21</v>
      </c>
      <c r="C53" s="155" t="s">
        <v>98</v>
      </c>
      <c r="D53" s="157">
        <v>0.57999999999999996</v>
      </c>
      <c r="E53" s="157">
        <v>0.57999999999999996</v>
      </c>
      <c r="F53" s="155">
        <v>0</v>
      </c>
      <c r="G53" s="155">
        <v>0</v>
      </c>
      <c r="H53" s="155">
        <v>0</v>
      </c>
    </row>
    <row r="54" spans="1:8" x14ac:dyDescent="0.15">
      <c r="A54" s="155"/>
      <c r="B54" s="155"/>
      <c r="C54" s="155" t="s">
        <v>62</v>
      </c>
      <c r="D54" s="157">
        <v>0.51</v>
      </c>
      <c r="E54" s="157">
        <v>0.51</v>
      </c>
      <c r="F54" s="155">
        <v>0</v>
      </c>
      <c r="G54" s="155">
        <v>0</v>
      </c>
      <c r="H54" s="15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E11"/>
  <sheetViews>
    <sheetView workbookViewId="0">
      <selection activeCell="E2" sqref="E2"/>
    </sheetView>
  </sheetViews>
  <sheetFormatPr baseColWidth="10" defaultColWidth="11.5" defaultRowHeight="13" x14ac:dyDescent="0.15"/>
  <cols>
    <col min="1" max="1" width="33.6640625" customWidth="1"/>
    <col min="2" max="2" width="12.5" customWidth="1"/>
    <col min="5" max="5" width="17.5" customWidth="1"/>
  </cols>
  <sheetData>
    <row r="1" spans="1:5" x14ac:dyDescent="0.15">
      <c r="A1" s="10" t="s">
        <v>171</v>
      </c>
      <c r="B1" s="10" t="s">
        <v>172</v>
      </c>
      <c r="C1" s="10" t="s">
        <v>11</v>
      </c>
      <c r="D1" s="10" t="s">
        <v>180</v>
      </c>
      <c r="E1" s="10" t="s">
        <v>182</v>
      </c>
    </row>
    <row r="2" spans="1:5" ht="14" x14ac:dyDescent="0.15">
      <c r="A2" s="45" t="s">
        <v>162</v>
      </c>
      <c r="B2" s="46">
        <v>0.9</v>
      </c>
      <c r="C2" s="49"/>
      <c r="E2">
        <f>C2*D2</f>
        <v>0</v>
      </c>
    </row>
    <row r="3" spans="1:5" ht="14" x14ac:dyDescent="0.15">
      <c r="A3" s="45" t="s">
        <v>163</v>
      </c>
      <c r="B3" s="46">
        <v>1</v>
      </c>
      <c r="C3" s="49"/>
      <c r="E3">
        <f t="shared" ref="E3:E10" si="0">C3*D3</f>
        <v>0</v>
      </c>
    </row>
    <row r="4" spans="1:5" ht="14" x14ac:dyDescent="0.15">
      <c r="A4" s="45" t="s">
        <v>164</v>
      </c>
      <c r="B4" s="46">
        <v>1</v>
      </c>
      <c r="C4" s="49"/>
      <c r="E4">
        <f t="shared" si="0"/>
        <v>0</v>
      </c>
    </row>
    <row r="5" spans="1:5" ht="14" x14ac:dyDescent="0.15">
      <c r="A5" s="45" t="s">
        <v>167</v>
      </c>
      <c r="B5" s="46">
        <v>1</v>
      </c>
      <c r="C5" s="49"/>
      <c r="E5">
        <f t="shared" si="0"/>
        <v>0</v>
      </c>
    </row>
    <row r="6" spans="1:5" ht="14" x14ac:dyDescent="0.15">
      <c r="A6" s="45" t="s">
        <v>168</v>
      </c>
      <c r="B6" s="46">
        <v>1</v>
      </c>
      <c r="C6" s="49"/>
      <c r="E6">
        <f t="shared" si="0"/>
        <v>0</v>
      </c>
    </row>
    <row r="7" spans="1:5" ht="14" x14ac:dyDescent="0.15">
      <c r="A7" s="45" t="s">
        <v>165</v>
      </c>
      <c r="B7" s="46">
        <v>0.93</v>
      </c>
      <c r="C7" s="49"/>
      <c r="E7">
        <f t="shared" si="0"/>
        <v>0</v>
      </c>
    </row>
    <row r="8" spans="1:5" ht="14" x14ac:dyDescent="0.15">
      <c r="A8" s="45" t="s">
        <v>166</v>
      </c>
      <c r="B8" s="46">
        <v>0.5</v>
      </c>
      <c r="C8" s="49"/>
      <c r="E8">
        <f t="shared" si="0"/>
        <v>0</v>
      </c>
    </row>
    <row r="9" spans="1:5" ht="14" x14ac:dyDescent="0.15">
      <c r="A9" s="45" t="s">
        <v>169</v>
      </c>
      <c r="B9" s="46">
        <v>0.5</v>
      </c>
      <c r="C9" s="49"/>
      <c r="E9">
        <f t="shared" si="0"/>
        <v>0</v>
      </c>
    </row>
    <row r="10" spans="1:5" ht="14" x14ac:dyDescent="0.15">
      <c r="A10" s="45" t="s">
        <v>170</v>
      </c>
      <c r="B10" s="46">
        <v>0.98</v>
      </c>
      <c r="C10" s="49"/>
      <c r="E10">
        <f t="shared" si="0"/>
        <v>0</v>
      </c>
    </row>
    <row r="11" spans="1:5" x14ac:dyDescent="0.15">
      <c r="C11" s="1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H7"/>
  <sheetViews>
    <sheetView workbookViewId="0">
      <selection activeCell="B14" sqref="B14"/>
    </sheetView>
  </sheetViews>
  <sheetFormatPr baseColWidth="10" defaultColWidth="11.5" defaultRowHeight="13" x14ac:dyDescent="0.15"/>
  <cols>
    <col min="1" max="1" width="19.83203125" bestFit="1" customWidth="1"/>
    <col min="2" max="2" width="18.1640625" bestFit="1" customWidth="1"/>
    <col min="3" max="3" width="17.83203125" bestFit="1" customWidth="1"/>
    <col min="4" max="7" width="13.83203125" bestFit="1" customWidth="1"/>
  </cols>
  <sheetData>
    <row r="1" spans="1:8" x14ac:dyDescent="0.15">
      <c r="A1" s="1" t="s">
        <v>237</v>
      </c>
      <c r="B1" s="1" t="s">
        <v>5</v>
      </c>
      <c r="C1" s="1" t="s">
        <v>48</v>
      </c>
      <c r="D1" s="10" t="s">
        <v>111</v>
      </c>
      <c r="E1" s="10" t="s">
        <v>112</v>
      </c>
      <c r="F1" s="10" t="s">
        <v>113</v>
      </c>
      <c r="G1" s="10" t="s">
        <v>114</v>
      </c>
      <c r="H1" s="38"/>
    </row>
    <row r="2" spans="1:8" x14ac:dyDescent="0.15">
      <c r="A2" s="4" t="s">
        <v>210</v>
      </c>
      <c r="B2" s="89" t="s">
        <v>84</v>
      </c>
      <c r="C2" s="4" t="s">
        <v>98</v>
      </c>
      <c r="D2" s="4">
        <v>1</v>
      </c>
      <c r="E2" s="4">
        <v>1</v>
      </c>
      <c r="F2" s="4">
        <v>1</v>
      </c>
      <c r="G2" s="4">
        <v>1</v>
      </c>
      <c r="H2" s="78"/>
    </row>
    <row r="3" spans="1:8" x14ac:dyDescent="0.15">
      <c r="C3" t="s">
        <v>62</v>
      </c>
      <c r="D3" s="4">
        <v>0.2</v>
      </c>
      <c r="E3" s="4">
        <v>0.2</v>
      </c>
      <c r="F3" s="4">
        <v>0.2</v>
      </c>
      <c r="G3" s="4">
        <v>0.2</v>
      </c>
      <c r="H3" s="12"/>
    </row>
    <row r="4" spans="1:8" x14ac:dyDescent="0.15">
      <c r="A4" s="4" t="s">
        <v>211</v>
      </c>
      <c r="B4" t="s">
        <v>84</v>
      </c>
      <c r="C4" s="4" t="s">
        <v>98</v>
      </c>
      <c r="D4" s="4">
        <v>1</v>
      </c>
      <c r="E4" s="4">
        <v>1</v>
      </c>
      <c r="F4" s="4">
        <v>1</v>
      </c>
      <c r="G4" s="4">
        <v>1</v>
      </c>
      <c r="H4" s="12"/>
    </row>
    <row r="5" spans="1:8" x14ac:dyDescent="0.15">
      <c r="A5" s="11"/>
      <c r="C5" t="s">
        <v>62</v>
      </c>
      <c r="D5" s="12">
        <v>0.59</v>
      </c>
      <c r="E5" s="12">
        <v>0.59</v>
      </c>
      <c r="F5" s="12">
        <v>0.59</v>
      </c>
      <c r="G5" s="12">
        <v>0.59</v>
      </c>
      <c r="H5" s="78"/>
    </row>
    <row r="6" spans="1:8" x14ac:dyDescent="0.15">
      <c r="A6" s="4" t="s">
        <v>212</v>
      </c>
      <c r="B6" t="s">
        <v>84</v>
      </c>
      <c r="C6" s="4" t="s">
        <v>98</v>
      </c>
      <c r="D6" s="12">
        <v>1</v>
      </c>
      <c r="E6" s="12">
        <v>1</v>
      </c>
      <c r="F6" s="12">
        <v>1</v>
      </c>
      <c r="G6" s="12">
        <v>1</v>
      </c>
      <c r="H6" s="78"/>
    </row>
    <row r="7" spans="1:8" x14ac:dyDescent="0.15">
      <c r="A7" s="11"/>
      <c r="C7" t="s">
        <v>62</v>
      </c>
      <c r="D7" s="12">
        <v>0.6</v>
      </c>
      <c r="E7" s="12">
        <v>0.6</v>
      </c>
      <c r="F7" s="12">
        <v>0.6</v>
      </c>
      <c r="G7" s="12">
        <v>0.6</v>
      </c>
      <c r="H7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F3"/>
  <sheetViews>
    <sheetView workbookViewId="0">
      <selection activeCell="F8" sqref="F8"/>
    </sheetView>
  </sheetViews>
  <sheetFormatPr baseColWidth="10" defaultColWidth="11.5" defaultRowHeight="13" x14ac:dyDescent="0.15"/>
  <cols>
    <col min="1" max="1" width="16.83203125" bestFit="1" customWidth="1"/>
    <col min="2" max="2" width="13" bestFit="1" customWidth="1"/>
    <col min="3" max="3" width="9" bestFit="1" customWidth="1"/>
    <col min="4" max="4" width="10.5" bestFit="1" customWidth="1"/>
    <col min="5" max="5" width="10.6640625" bestFit="1" customWidth="1"/>
  </cols>
  <sheetData>
    <row r="1" spans="1:6" ht="65" x14ac:dyDescent="0.15">
      <c r="A1" s="1" t="s">
        <v>237</v>
      </c>
      <c r="B1" s="75" t="s">
        <v>48</v>
      </c>
      <c r="C1" s="76" t="s">
        <v>188</v>
      </c>
      <c r="D1" s="76" t="s">
        <v>189</v>
      </c>
      <c r="E1" s="76" t="s">
        <v>190</v>
      </c>
      <c r="F1" s="1"/>
    </row>
    <row r="2" spans="1:6" x14ac:dyDescent="0.15">
      <c r="A2" t="s">
        <v>240</v>
      </c>
      <c r="B2" s="56" t="s">
        <v>51</v>
      </c>
      <c r="C2" s="77">
        <f>'Distribution births'!C2</f>
        <v>5.6000000000000001E-2</v>
      </c>
      <c r="D2" s="77">
        <f>'Distribution births'!C3</f>
        <v>5.0000000000000001E-3</v>
      </c>
      <c r="E2" s="77">
        <f>'Distribution births'!C4</f>
        <v>0</v>
      </c>
      <c r="F2" s="9"/>
    </row>
    <row r="3" spans="1:6" x14ac:dyDescent="0.15">
      <c r="B3" s="56" t="s">
        <v>49</v>
      </c>
      <c r="C3" s="77">
        <v>0.8</v>
      </c>
      <c r="D3" s="77">
        <v>0.8</v>
      </c>
      <c r="E3" s="77">
        <v>0.8</v>
      </c>
      <c r="F3" s="9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54"/>
  <sheetViews>
    <sheetView workbookViewId="0">
      <selection activeCell="A14" sqref="A14:O14"/>
    </sheetView>
  </sheetViews>
  <sheetFormatPr baseColWidth="10" defaultColWidth="14.5" defaultRowHeight="15.75" customHeight="1" x14ac:dyDescent="0.15"/>
  <cols>
    <col min="1" max="1" width="20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10" t="s">
        <v>75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ht="15.75" customHeight="1" x14ac:dyDescent="0.15">
      <c r="A2" s="10" t="s">
        <v>71</v>
      </c>
      <c r="B2" s="40" t="s">
        <v>52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0</v>
      </c>
    </row>
    <row r="3" spans="1:15" ht="15.75" customHeight="1" x14ac:dyDescent="0.15">
      <c r="A3" s="10"/>
      <c r="B3" s="4" t="s">
        <v>136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ht="15.75" customHeight="1" x14ac:dyDescent="0.15">
      <c r="B4" s="4" t="s">
        <v>47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ht="15.75" customHeight="1" x14ac:dyDescent="0.15">
      <c r="B5" s="40" t="s">
        <v>53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ht="15.75" customHeight="1" x14ac:dyDescent="0.15">
      <c r="B6" s="4" t="s">
        <v>123</v>
      </c>
      <c r="C6" s="3">
        <v>0</v>
      </c>
      <c r="D6" s="3">
        <v>0</v>
      </c>
      <c r="E6" s="16">
        <f>'Baseline year demographics'!C8</f>
        <v>0.40000000596046448</v>
      </c>
      <c r="F6" s="16">
        <f>'Baseline year demographics'!C8</f>
        <v>0.40000000596046448</v>
      </c>
      <c r="G6" s="16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ht="15.75" customHeight="1" x14ac:dyDescent="0.15">
      <c r="B7" s="4" t="s">
        <v>74</v>
      </c>
      <c r="C7" s="3">
        <v>0</v>
      </c>
      <c r="D7" s="3">
        <v>0</v>
      </c>
      <c r="E7" s="16">
        <f>'Baseline year demographics'!C8*(1-'Baseline year demographics'!C9)</f>
        <v>0</v>
      </c>
      <c r="F7" s="16">
        <f>'Baseline year demographics'!C8*(1-'Baseline year demographics'!C9)</f>
        <v>0</v>
      </c>
      <c r="G7" s="16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ht="15.75" customHeight="1" x14ac:dyDescent="0.15">
      <c r="B8" s="4" t="s">
        <v>132</v>
      </c>
      <c r="C8" s="3">
        <v>0</v>
      </c>
      <c r="D8" s="3">
        <v>0</v>
      </c>
      <c r="E8" s="16">
        <f>'Baseline year demographics'!C8*'Baseline year demographics'!C9</f>
        <v>0.40000000596046448</v>
      </c>
      <c r="F8" s="16">
        <f>'Baseline year demographics'!C8*'Baseline year demographics'!C9</f>
        <v>0.40000000596046448</v>
      </c>
      <c r="G8" s="16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ht="15.75" customHeight="1" x14ac:dyDescent="0.15">
      <c r="B9" s="4" t="s">
        <v>73</v>
      </c>
      <c r="C9" s="3">
        <v>0</v>
      </c>
      <c r="D9" s="3">
        <v>0</v>
      </c>
      <c r="E9" s="16">
        <f>(1-'Baseline year demographics'!$C9)</f>
        <v>0</v>
      </c>
      <c r="F9" s="16">
        <f>(1-'Baseline year demographics'!$C9)</f>
        <v>0</v>
      </c>
      <c r="G9" s="16">
        <f>(1-'Baseline year demographics'!$C9)</f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ht="15.75" customHeight="1" x14ac:dyDescent="0.15">
      <c r="B10" s="4" t="s">
        <v>133</v>
      </c>
      <c r="C10" s="3">
        <v>0</v>
      </c>
      <c r="D10" s="3">
        <v>0</v>
      </c>
      <c r="E10" s="16">
        <f>'Baseline year demographics'!$C9</f>
        <v>1</v>
      </c>
      <c r="F10" s="16">
        <f>'Baseline year demographics'!$C9</f>
        <v>1</v>
      </c>
      <c r="G10" s="16">
        <f>'Baseline year demographics'!$C9</f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ht="15.75" customHeight="1" x14ac:dyDescent="0.15">
      <c r="B11" s="4" t="s">
        <v>139</v>
      </c>
      <c r="C11" s="108">
        <v>0</v>
      </c>
      <c r="D11" s="109">
        <f>'Baseline year demographics'!$C8</f>
        <v>0.40000000596046448</v>
      </c>
      <c r="E11" s="109">
        <f>'Baseline year demographics'!$C8</f>
        <v>0.40000000596046448</v>
      </c>
      <c r="F11" s="109">
        <f>'Baseline year demographics'!$C8</f>
        <v>0.40000000596046448</v>
      </c>
      <c r="G11" s="109">
        <f>'Baseline year demographics'!$C8</f>
        <v>0.40000000596046448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ht="15.75" customHeight="1" x14ac:dyDescent="0.15">
      <c r="B12" s="4" t="s">
        <v>147</v>
      </c>
      <c r="C12" s="108">
        <v>0</v>
      </c>
      <c r="D12" s="108">
        <v>1</v>
      </c>
      <c r="E12" s="108">
        <v>1</v>
      </c>
      <c r="F12" s="108">
        <v>1</v>
      </c>
      <c r="G12" s="108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ht="15.75" customHeight="1" x14ac:dyDescent="0.15">
      <c r="B13" s="4" t="s">
        <v>148</v>
      </c>
      <c r="C13" s="108">
        <v>0</v>
      </c>
      <c r="D13" s="108">
        <v>1</v>
      </c>
      <c r="E13" s="108">
        <v>1</v>
      </c>
      <c r="F13" s="108">
        <v>1</v>
      </c>
      <c r="G13" s="108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ht="15.75" customHeight="1" x14ac:dyDescent="0.15">
      <c r="A14" s="155"/>
      <c r="B14" s="155" t="s">
        <v>274</v>
      </c>
      <c r="C14" s="108">
        <v>1</v>
      </c>
      <c r="D14" s="108">
        <v>0</v>
      </c>
      <c r="E14" s="108">
        <v>0</v>
      </c>
      <c r="F14" s="108">
        <v>0</v>
      </c>
      <c r="G14" s="108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6" spans="1:15" ht="15.75" customHeight="1" x14ac:dyDescent="0.15">
      <c r="A16" s="10" t="s">
        <v>72</v>
      </c>
      <c r="B16" t="s">
        <v>54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16">
        <f>'Baseline year demographics'!$C$8</f>
        <v>0.40000000596046448</v>
      </c>
      <c r="I16" s="16">
        <f>'Baseline year demographics'!$C$8</f>
        <v>0.40000000596046448</v>
      </c>
      <c r="J16" s="16">
        <f>'Baseline year demographics'!$C$8</f>
        <v>0.40000000596046448</v>
      </c>
      <c r="K16" s="16">
        <f>'Baseline year demographics'!$C$8</f>
        <v>0.40000000596046448</v>
      </c>
      <c r="L16" s="3">
        <v>0</v>
      </c>
      <c r="M16" s="3">
        <v>0</v>
      </c>
      <c r="N16" s="3">
        <v>0</v>
      </c>
      <c r="O16" s="3">
        <v>0</v>
      </c>
    </row>
    <row r="17" spans="1:15" ht="15.75" customHeight="1" x14ac:dyDescent="0.15">
      <c r="A17" s="10"/>
      <c r="B17" t="s">
        <v>131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f>1-'Baseline year demographics'!$C9</f>
        <v>0</v>
      </c>
      <c r="I17" s="3">
        <f>1-'Baseline year demographics'!$C9</f>
        <v>0</v>
      </c>
      <c r="J17" s="3">
        <f>1-'Baseline year demographics'!$C9</f>
        <v>0</v>
      </c>
      <c r="K17" s="3">
        <f>1-'Baseline year demographics'!$C9</f>
        <v>0</v>
      </c>
      <c r="L17" s="3">
        <v>0</v>
      </c>
      <c r="M17" s="3">
        <v>0</v>
      </c>
      <c r="N17" s="3">
        <v>0</v>
      </c>
      <c r="O17" s="3">
        <v>0</v>
      </c>
    </row>
    <row r="18" spans="1:15" ht="15.75" customHeight="1" x14ac:dyDescent="0.15">
      <c r="B18" t="s">
        <v>134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16">
        <f>'Baseline year demographics'!$C9</f>
        <v>1</v>
      </c>
      <c r="I18" s="16">
        <f>'Baseline year demographics'!$C9</f>
        <v>1</v>
      </c>
      <c r="J18" s="16">
        <f>'Baseline year demographics'!$C9</f>
        <v>1</v>
      </c>
      <c r="K18" s="16">
        <f>'Baseline year demographics'!$C9</f>
        <v>1</v>
      </c>
      <c r="L18" s="3">
        <v>0</v>
      </c>
      <c r="M18" s="3">
        <v>0</v>
      </c>
      <c r="N18" s="3">
        <v>0</v>
      </c>
      <c r="O18" s="3">
        <v>0</v>
      </c>
    </row>
    <row r="19" spans="1:15" ht="15.75" customHeight="1" x14ac:dyDescent="0.15">
      <c r="B19" s="4" t="s">
        <v>76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0">
        <f xml:space="preserve"> 1-'Baseline year demographics'!$C9</f>
        <v>0</v>
      </c>
      <c r="I19" s="20">
        <f xml:space="preserve"> 1-'Baseline year demographics'!$C9</f>
        <v>0</v>
      </c>
      <c r="J19" s="20">
        <f xml:space="preserve"> 1-'Baseline year demographics'!$C9</f>
        <v>0</v>
      </c>
      <c r="K19" s="20">
        <f xml:space="preserve"> 1-'Baseline year demographics'!$C9</f>
        <v>0</v>
      </c>
      <c r="L19" s="3">
        <v>0</v>
      </c>
      <c r="M19" s="3">
        <v>0</v>
      </c>
      <c r="N19" s="3">
        <v>0</v>
      </c>
      <c r="O19" s="3">
        <v>0</v>
      </c>
    </row>
    <row r="20" spans="1:15" ht="15.75" customHeight="1" x14ac:dyDescent="0.15">
      <c r="B20" s="4" t="s">
        <v>135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0">
        <f>'Baseline year demographics'!$C9</f>
        <v>1</v>
      </c>
      <c r="I20" s="20">
        <f>'Baseline year demographics'!$C9</f>
        <v>1</v>
      </c>
      <c r="J20" s="20">
        <f>'Baseline year demographics'!$C9</f>
        <v>1</v>
      </c>
      <c r="K20" s="20">
        <f>'Baseline year demographics'!$C9</f>
        <v>1</v>
      </c>
      <c r="L20" s="3">
        <v>0</v>
      </c>
      <c r="M20" s="3">
        <v>0</v>
      </c>
      <c r="N20" s="3">
        <v>0</v>
      </c>
      <c r="O20" s="3">
        <v>0</v>
      </c>
    </row>
    <row r="21" spans="1:15" ht="15.75" customHeight="1" x14ac:dyDescent="0.15">
      <c r="B21" t="s">
        <v>115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0">
        <f>'Baseline year demographics'!$C9</f>
        <v>1</v>
      </c>
      <c r="I21" s="20">
        <f>'Baseline year demographics'!$C9</f>
        <v>1</v>
      </c>
      <c r="J21" s="20">
        <f>'Baseline year demographics'!$C9</f>
        <v>1</v>
      </c>
      <c r="K21" s="20">
        <f>'Baseline year demographics'!$C9</f>
        <v>1</v>
      </c>
      <c r="L21" s="3">
        <v>0</v>
      </c>
      <c r="M21" s="3">
        <v>0</v>
      </c>
      <c r="N21" s="3">
        <v>0</v>
      </c>
      <c r="O21" s="3">
        <v>0</v>
      </c>
    </row>
    <row r="23" spans="1:15" ht="15.75" customHeight="1" x14ac:dyDescent="0.15">
      <c r="A23" s="10" t="s">
        <v>80</v>
      </c>
      <c r="B23" t="s">
        <v>116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29">
        <v>0</v>
      </c>
      <c r="J23" s="29">
        <v>0</v>
      </c>
      <c r="K23" s="29">
        <v>0</v>
      </c>
      <c r="L23" s="16">
        <f>'Baseline year demographics'!$C$8*(1-'Baseline year demographics'!$C$9)*1*'Baseline year demographics'!$C$7</f>
        <v>0</v>
      </c>
      <c r="M23" s="16">
        <v>0</v>
      </c>
      <c r="N23" s="16">
        <v>0</v>
      </c>
      <c r="O23" s="16">
        <v>0</v>
      </c>
    </row>
    <row r="24" spans="1:15" ht="15.75" customHeight="1" x14ac:dyDescent="0.15">
      <c r="B24" t="s">
        <v>117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29">
        <v>0</v>
      </c>
      <c r="J24" s="29">
        <v>0</v>
      </c>
      <c r="K24" s="29">
        <v>0</v>
      </c>
      <c r="L24" s="16">
        <f>'Baseline year demographics'!$C$8*(1-'Baseline year demographics'!$C$9)*(0.7)*'Baseline year demographics'!$C$7</f>
        <v>0</v>
      </c>
      <c r="M24" s="16">
        <f>'Baseline year demographics'!$C$8*(1-'Baseline year demographics'!$C$9)*(0.7)</f>
        <v>0</v>
      </c>
      <c r="N24" s="16">
        <f>'Baseline year demographics'!$C$8*(1-'Baseline year demographics'!$C$9)*(0.7)</f>
        <v>0</v>
      </c>
      <c r="O24" s="16">
        <f>'Baseline year demographics'!$C$8*(1-'Baseline year demographics'!$C$9)*(0.7)</f>
        <v>0</v>
      </c>
    </row>
    <row r="25" spans="1:15" ht="15.75" customHeight="1" x14ac:dyDescent="0.15">
      <c r="B25" t="s">
        <v>118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29">
        <v>0</v>
      </c>
      <c r="J25" s="29">
        <v>0</v>
      </c>
      <c r="K25" s="29">
        <v>0</v>
      </c>
      <c r="L25" s="16">
        <f>'Baseline year demographics'!$C$8*(1-'Baseline year demographics'!$C$9)*(0.3)*'Baseline year demographics'!$C$7</f>
        <v>0</v>
      </c>
      <c r="M25" s="16">
        <f>'Baseline year demographics'!$C$8*(1-'Baseline year demographics'!$C$9)*(0.3)</f>
        <v>0</v>
      </c>
      <c r="N25" s="16">
        <f>'Baseline year demographics'!$C$8*(1-'Baseline year demographics'!$C$9)*(0.3)</f>
        <v>0</v>
      </c>
      <c r="O25" s="16">
        <f>'Baseline year demographics'!$C$8*(1-'Baseline year demographics'!$C$9)*(0.3)</f>
        <v>0</v>
      </c>
    </row>
    <row r="26" spans="1:15" ht="15.75" customHeight="1" x14ac:dyDescent="0.15">
      <c r="B26" t="s">
        <v>119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29">
        <v>0</v>
      </c>
      <c r="J26" s="29">
        <v>0</v>
      </c>
      <c r="K26" s="29">
        <v>0</v>
      </c>
      <c r="L26" s="16">
        <f>(1-'Baseline year demographics'!$C$8)*(1-'Baseline year demographics'!$C$9)*1*'Baseline year demographics'!$C$7</f>
        <v>0</v>
      </c>
      <c r="M26" s="16">
        <v>0</v>
      </c>
      <c r="N26" s="16">
        <v>0</v>
      </c>
      <c r="O26" s="16">
        <v>0</v>
      </c>
    </row>
    <row r="27" spans="1:15" ht="15.75" customHeight="1" x14ac:dyDescent="0.15">
      <c r="B27" t="s">
        <v>120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29">
        <v>0</v>
      </c>
      <c r="J27" s="29">
        <v>0</v>
      </c>
      <c r="K27" s="29">
        <v>0</v>
      </c>
      <c r="L27" s="16">
        <f>(1-'Baseline year demographics'!$C$8)*(1-'Baseline year demographics'!$C$9)*(0.49)*'Baseline year demographics'!$C$7</f>
        <v>0</v>
      </c>
      <c r="M27" s="16">
        <f>(1-'Baseline year demographics'!$C$8)*(1-'Baseline year demographics'!$C$9)*(0.49)</f>
        <v>0</v>
      </c>
      <c r="N27" s="16">
        <f>(1-'Baseline year demographics'!$C$8)*(1-'Baseline year demographics'!$C$9)*(0.49)</f>
        <v>0</v>
      </c>
      <c r="O27" s="16">
        <f>(1-'Baseline year demographics'!$C$8)*(1-'Baseline year demographics'!$C$9)*(0.49)</f>
        <v>0</v>
      </c>
    </row>
    <row r="28" spans="1:15" ht="15.75" customHeight="1" x14ac:dyDescent="0.15">
      <c r="B28" t="s">
        <v>121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29">
        <v>0</v>
      </c>
      <c r="J28" s="29">
        <v>0</v>
      </c>
      <c r="K28" s="29">
        <v>0</v>
      </c>
      <c r="L28" s="16">
        <f>(1-'Baseline year demographics'!$C$8)*(1-'Baseline year demographics'!$C$9)*(0.21)*'Baseline year demographics'!$C$7</f>
        <v>0</v>
      </c>
      <c r="M28" s="16">
        <f>(1-'Baseline year demographics'!$C$8)*(1-'Baseline year demographics'!$C$9)*(0.21)</f>
        <v>0</v>
      </c>
      <c r="N28" s="16">
        <f>(1-'Baseline year demographics'!$C$8)*(1-'Baseline year demographics'!$C$9)*(0.21)</f>
        <v>0</v>
      </c>
      <c r="O28" s="16">
        <f>(1-'Baseline year demographics'!$C$8)*(1-'Baseline year demographics'!$C$9)*(0.21)</f>
        <v>0</v>
      </c>
    </row>
    <row r="29" spans="1:15" ht="15.75" customHeight="1" x14ac:dyDescent="0.15">
      <c r="B29" t="s">
        <v>122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29">
        <v>0</v>
      </c>
      <c r="J29" s="29">
        <v>0</v>
      </c>
      <c r="K29" s="29">
        <v>0</v>
      </c>
      <c r="L29" s="16">
        <f>(1-'Baseline year demographics'!$C$8)*(1-'Baseline year demographics'!$C$9)*(0.3)*'Baseline year demographics'!$C$7</f>
        <v>0</v>
      </c>
      <c r="M29" s="16">
        <f>(1-'Baseline year demographics'!$C$8)*(1-'Baseline year demographics'!$C$9)*(0.3)</f>
        <v>0</v>
      </c>
      <c r="N29" s="16">
        <f>(1-'Baseline year demographics'!$C$8)*(1-'Baseline year demographics'!$C$9)*(0.3)</f>
        <v>0</v>
      </c>
      <c r="O29" s="16">
        <f>(1-'Baseline year demographics'!$C$8)*(1-'Baseline year demographics'!$C$9)*(0.3)</f>
        <v>0</v>
      </c>
    </row>
    <row r="30" spans="1:15" ht="15.75" customHeight="1" x14ac:dyDescent="0.15">
      <c r="A30" s="10"/>
      <c r="B30" t="s">
        <v>124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29">
        <v>0</v>
      </c>
      <c r="J30" s="29">
        <v>0</v>
      </c>
      <c r="K30" s="29">
        <v>0</v>
      </c>
      <c r="L30" s="16">
        <f>'Baseline year demographics'!$C$8*('Baseline year demographics'!$C$9)*1*'Baseline year demographics'!$C$7</f>
        <v>5.4000000804662711E-2</v>
      </c>
      <c r="M30" s="16">
        <v>0</v>
      </c>
      <c r="N30" s="16">
        <v>0</v>
      </c>
      <c r="O30" s="16">
        <v>0</v>
      </c>
    </row>
    <row r="31" spans="1:15" ht="15.75" customHeight="1" x14ac:dyDescent="0.15">
      <c r="B31" t="s">
        <v>125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29">
        <v>0</v>
      </c>
      <c r="J31" s="29">
        <v>0</v>
      </c>
      <c r="K31" s="29">
        <v>0</v>
      </c>
      <c r="L31" s="16">
        <f>'Baseline year demographics'!$C$8*('Baseline year demographics'!$C$9)*(0.7)*'Baseline year demographics'!$C$7</f>
        <v>3.7800000563263894E-2</v>
      </c>
      <c r="M31" s="16">
        <f>'Baseline year demographics'!$C$8*('Baseline year demographics'!$C$9)*(0.7)</f>
        <v>0.28000000417232512</v>
      </c>
      <c r="N31" s="16">
        <f>'Baseline year demographics'!$C$8*('Baseline year demographics'!$C$9)*(0.7)</f>
        <v>0.28000000417232512</v>
      </c>
      <c r="O31" s="16">
        <f>'Baseline year demographics'!$C$8*('Baseline year demographics'!$C$9)*(0.7)</f>
        <v>0.28000000417232512</v>
      </c>
    </row>
    <row r="32" spans="1:15" ht="15.75" customHeight="1" x14ac:dyDescent="0.15">
      <c r="B32" t="s">
        <v>126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29">
        <v>0</v>
      </c>
      <c r="J32" s="29">
        <v>0</v>
      </c>
      <c r="K32" s="29">
        <v>0</v>
      </c>
      <c r="L32" s="16">
        <f>'Baseline year demographics'!$C$8*('Baseline year demographics'!$C$9)*(0.3)*'Baseline year demographics'!$C$7</f>
        <v>1.6200000241398813E-2</v>
      </c>
      <c r="M32" s="16">
        <f>'Baseline year demographics'!$C$8*(1-'Baseline year demographics'!$C$9)*(0.3)</f>
        <v>0</v>
      </c>
      <c r="N32" s="16">
        <f>'Baseline year demographics'!$C$8*(1-'Baseline year demographics'!$C$9)*(0.3)</f>
        <v>0</v>
      </c>
      <c r="O32" s="16">
        <f>'Baseline year demographics'!$C$8*(1-'Baseline year demographics'!$C$9)*(0.3)</f>
        <v>0</v>
      </c>
    </row>
    <row r="33" spans="1:15" ht="15.75" customHeight="1" x14ac:dyDescent="0.15">
      <c r="B33" t="s">
        <v>127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29">
        <v>0</v>
      </c>
      <c r="J33" s="29">
        <v>0</v>
      </c>
      <c r="K33" s="29">
        <v>0</v>
      </c>
      <c r="L33" s="16">
        <f>(1-'Baseline year demographics'!$C$8)*('Baseline year demographics'!$C$9)*1*'Baseline year demographics'!$C$7</f>
        <v>8.0999999195337305E-2</v>
      </c>
      <c r="M33" s="16">
        <v>0</v>
      </c>
      <c r="N33" s="16">
        <v>0</v>
      </c>
      <c r="O33" s="16">
        <v>0</v>
      </c>
    </row>
    <row r="34" spans="1:15" ht="15.75" customHeight="1" x14ac:dyDescent="0.15">
      <c r="B34" t="s">
        <v>128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29">
        <v>0</v>
      </c>
      <c r="J34" s="29">
        <v>0</v>
      </c>
      <c r="K34" s="29">
        <v>0</v>
      </c>
      <c r="L34" s="16">
        <f>(1-'Baseline year demographics'!$C$8)*('Baseline year demographics'!$C$9)*(0.49)*'Baseline year demographics'!$C$7</f>
        <v>3.968999960571528E-2</v>
      </c>
      <c r="M34" s="16">
        <f>(1-'Baseline year demographics'!$C$8)*('Baseline year demographics'!$C$9)*(0.49)</f>
        <v>0.29399999707937241</v>
      </c>
      <c r="N34" s="16">
        <f>(1-'Baseline year demographics'!$C$8)*('Baseline year demographics'!$C$9)*(0.49)</f>
        <v>0.29399999707937241</v>
      </c>
      <c r="O34" s="16">
        <f>(1-'Baseline year demographics'!$C$8)*('Baseline year demographics'!$C$9)*(0.49)</f>
        <v>0.29399999707937241</v>
      </c>
    </row>
    <row r="35" spans="1:15" ht="15.75" customHeight="1" x14ac:dyDescent="0.15">
      <c r="B35" t="s">
        <v>129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29">
        <v>0</v>
      </c>
      <c r="J35" s="29">
        <v>0</v>
      </c>
      <c r="K35" s="29">
        <v>0</v>
      </c>
      <c r="L35" s="16">
        <f>(1-'Baseline year demographics'!$C$8)*('Baseline year demographics'!$C$9)*(0.21)*'Baseline year demographics'!$C$7</f>
        <v>1.7009999831020833E-2</v>
      </c>
      <c r="M35" s="16">
        <f>(1-'Baseline year demographics'!$C$8)*('Baseline year demographics'!$C$9)*(0.21)</f>
        <v>0.12599999874830245</v>
      </c>
      <c r="N35" s="16">
        <f>(1-'Baseline year demographics'!$C$8)*('Baseline year demographics'!$C$9)*(0.21)</f>
        <v>0.12599999874830245</v>
      </c>
      <c r="O35" s="16">
        <f>(1-'Baseline year demographics'!$C$8)*('Baseline year demographics'!$C$9)*(0.21)</f>
        <v>0.12599999874830245</v>
      </c>
    </row>
    <row r="36" spans="1:15" ht="15.75" customHeight="1" x14ac:dyDescent="0.15">
      <c r="B36" t="s">
        <v>130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29">
        <v>0</v>
      </c>
      <c r="J36" s="29">
        <v>0</v>
      </c>
      <c r="K36" s="29">
        <v>0</v>
      </c>
      <c r="L36" s="16">
        <f>(1-'Baseline year demographics'!$C$8)*('Baseline year demographics'!$C$9)*(0.3)*'Baseline year demographics'!$C$7</f>
        <v>2.4299999758601191E-2</v>
      </c>
      <c r="M36" s="16">
        <f>(1-'Baseline year demographics'!$C$8)*('Baseline year demographics'!$C$9)*(0.3)</f>
        <v>0.17999999821186066</v>
      </c>
      <c r="N36" s="16">
        <f>(1-'Baseline year demographics'!$C$8)*('Baseline year demographics'!$C$9)*(0.3)</f>
        <v>0.17999999821186066</v>
      </c>
      <c r="O36" s="16">
        <f>(1-'Baseline year demographics'!$C$8)*('Baseline year demographics'!$C$9)*(0.3)</f>
        <v>0.17999999821186066</v>
      </c>
    </row>
    <row r="37" spans="1:15" ht="15.75" customHeight="1" x14ac:dyDescent="0.15">
      <c r="B37" t="s">
        <v>181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29">
        <v>0</v>
      </c>
      <c r="J37" s="29">
        <v>0</v>
      </c>
      <c r="K37" s="29">
        <v>0</v>
      </c>
      <c r="L37" s="110">
        <f>'Programs cost and coverage'!$B6+'Baseline year demographics'!$C12</f>
        <v>0</v>
      </c>
      <c r="M37" s="110">
        <f>'Programs cost and coverage'!$B6+'Baseline year demographics'!$C12</f>
        <v>0</v>
      </c>
      <c r="N37" s="110">
        <f>'Programs cost and coverage'!$B6+'Baseline year demographics'!$C12</f>
        <v>0</v>
      </c>
      <c r="O37" s="110">
        <f>'Programs cost and coverage'!$B6+'Baseline year demographics'!$C12</f>
        <v>0</v>
      </c>
    </row>
    <row r="38" spans="1:15" ht="15.75" customHeight="1" x14ac:dyDescent="0.15">
      <c r="B38" s="31" t="s">
        <v>240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29">
        <v>0</v>
      </c>
      <c r="J38" s="29">
        <v>0</v>
      </c>
      <c r="K38" s="29">
        <v>0</v>
      </c>
      <c r="L38" s="16">
        <f>'Baseline year demographics'!$C$29/SUM('Baseline year demographics'!$C$29:$C$32)</f>
        <v>0</v>
      </c>
      <c r="M38" s="16">
        <f>'Baseline year demographics'!$C$29/SUM('Baseline year demographics'!$C$29:$C$32)</f>
        <v>0</v>
      </c>
      <c r="N38" s="16">
        <f>'Baseline year demographics'!$C$29/SUM('Baseline year demographics'!$C$29:$C$32)</f>
        <v>0</v>
      </c>
      <c r="O38" s="16">
        <f>'Baseline year demographics'!$C$29/SUM('Baseline year demographics'!$C$29:$C$32)</f>
        <v>0</v>
      </c>
    </row>
    <row r="39" spans="1:15" ht="15.75" customHeight="1" x14ac:dyDescent="0.15">
      <c r="B39" s="12"/>
      <c r="C39" s="3"/>
      <c r="D39" s="3"/>
      <c r="E39" s="111"/>
      <c r="F39" s="111"/>
      <c r="G39" s="111"/>
      <c r="H39" s="111"/>
      <c r="I39" s="111"/>
    </row>
    <row r="40" spans="1:15" ht="15.75" customHeight="1" x14ac:dyDescent="0.15">
      <c r="A40" s="10" t="s">
        <v>78</v>
      </c>
      <c r="B40" t="s">
        <v>204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</row>
    <row r="41" spans="1:15" ht="15.75" customHeight="1" x14ac:dyDescent="0.15">
      <c r="B41" t="s">
        <v>205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</row>
    <row r="42" spans="1:15" ht="15.75" customHeight="1" x14ac:dyDescent="0.15">
      <c r="B42" t="s">
        <v>206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</row>
    <row r="43" spans="1:15" ht="15.75" customHeight="1" x14ac:dyDescent="0.15">
      <c r="B43" t="s">
        <v>207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</row>
    <row r="44" spans="1:15" ht="15.75" customHeight="1" x14ac:dyDescent="0.15">
      <c r="B44" t="s">
        <v>208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</row>
    <row r="45" spans="1:15" ht="15.75" customHeight="1" x14ac:dyDescent="0.15">
      <c r="B45" t="s">
        <v>209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ht="15.75" customHeight="1" x14ac:dyDescent="0.15">
      <c r="B46" t="s">
        <v>213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ht="15.75" customHeight="1" x14ac:dyDescent="0.15">
      <c r="B47" s="4" t="s">
        <v>210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</row>
    <row r="48" spans="1:15" ht="15.75" customHeight="1" x14ac:dyDescent="0.15">
      <c r="B48" s="4" t="s">
        <v>211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</row>
    <row r="49" spans="1:15" ht="15.75" customHeight="1" x14ac:dyDescent="0.15">
      <c r="B49" s="4" t="s">
        <v>212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1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</row>
    <row r="50" spans="1:15" ht="15.75" customHeight="1" x14ac:dyDescent="0.15">
      <c r="A50" s="11"/>
      <c r="B50" s="12" t="s">
        <v>77</v>
      </c>
      <c r="C50" s="20">
        <f>'Baseline year demographics'!$C9</f>
        <v>1</v>
      </c>
      <c r="D50" s="20">
        <f>'Baseline year demographics'!$C9</f>
        <v>1</v>
      </c>
      <c r="E50" s="20">
        <f>'Baseline year demographics'!$C9</f>
        <v>1</v>
      </c>
      <c r="F50" s="20">
        <f>'Baseline year demographics'!$C9</f>
        <v>1</v>
      </c>
      <c r="G50" s="20">
        <f>'Baseline year demographics'!$C9</f>
        <v>1</v>
      </c>
      <c r="H50" s="20">
        <f>'Baseline year demographics'!$C9</f>
        <v>1</v>
      </c>
      <c r="I50" s="20">
        <f>'Baseline year demographics'!$C9</f>
        <v>1</v>
      </c>
      <c r="J50" s="20">
        <f>'Baseline year demographics'!$C9</f>
        <v>1</v>
      </c>
      <c r="K50" s="20">
        <f>'Baseline year demographics'!$C9</f>
        <v>1</v>
      </c>
      <c r="L50" s="20">
        <f>'Baseline year demographics'!$C9</f>
        <v>1</v>
      </c>
      <c r="M50" s="20">
        <f>'Baseline year demographics'!$C9</f>
        <v>1</v>
      </c>
      <c r="N50" s="20">
        <f>'Baseline year demographics'!$C9</f>
        <v>1</v>
      </c>
      <c r="O50" s="20">
        <f>'Baseline year demographics'!$C9</f>
        <v>1</v>
      </c>
    </row>
    <row r="51" spans="1:15" s="11" customFormat="1" ht="15.75" customHeight="1" x14ac:dyDescent="0.15">
      <c r="B51" s="12" t="s">
        <v>140</v>
      </c>
      <c r="C51" s="108">
        <v>0</v>
      </c>
      <c r="D51" s="108">
        <v>0</v>
      </c>
      <c r="E51" s="112">
        <f>'Baseline year demographics'!$C29</f>
        <v>0</v>
      </c>
      <c r="F51" s="112">
        <f>'Baseline year demographics'!$C29</f>
        <v>0</v>
      </c>
      <c r="G51" s="112">
        <f>'Baseline year demographics'!$C29</f>
        <v>0</v>
      </c>
      <c r="H51" s="112">
        <f>'Baseline year demographics'!$C29</f>
        <v>0</v>
      </c>
      <c r="I51" s="112">
        <f>'Baseline year demographics'!$C29</f>
        <v>0</v>
      </c>
      <c r="J51" s="112">
        <f>'Baseline year demographics'!$C29</f>
        <v>0</v>
      </c>
      <c r="K51" s="112">
        <f>'Baseline year demographics'!$C29</f>
        <v>0</v>
      </c>
      <c r="L51" s="112">
        <f>'Baseline year demographics'!$C29</f>
        <v>0</v>
      </c>
      <c r="M51" s="112">
        <f>'Baseline year demographics'!$C29</f>
        <v>0</v>
      </c>
      <c r="N51" s="112">
        <f>'Baseline year demographics'!$C29</f>
        <v>0</v>
      </c>
      <c r="O51" s="112">
        <f>'Baseline year demographics'!$C29</f>
        <v>0</v>
      </c>
    </row>
    <row r="52" spans="1:15" s="11" customFormat="1" ht="15.75" customHeight="1" x14ac:dyDescent="0.15">
      <c r="B52" s="12" t="s">
        <v>141</v>
      </c>
      <c r="C52" s="108">
        <v>0</v>
      </c>
      <c r="D52" s="108">
        <v>0</v>
      </c>
      <c r="E52" s="108">
        <f>'Baseline year demographics'!$C30</f>
        <v>0.88</v>
      </c>
      <c r="F52" s="108">
        <f>'Baseline year demographics'!$C30</f>
        <v>0.88</v>
      </c>
      <c r="G52" s="108">
        <f>'Baseline year demographics'!$C30</f>
        <v>0.88</v>
      </c>
      <c r="H52" s="108">
        <f>'Baseline year demographics'!$C30</f>
        <v>0.88</v>
      </c>
      <c r="I52" s="108">
        <f>'Baseline year demographics'!$C30</f>
        <v>0.88</v>
      </c>
      <c r="J52" s="108">
        <f>'Baseline year demographics'!$C30</f>
        <v>0.88</v>
      </c>
      <c r="K52" s="108">
        <f>'Baseline year demographics'!$C30</f>
        <v>0.88</v>
      </c>
      <c r="L52" s="108">
        <f>'Baseline year demographics'!$C30</f>
        <v>0.88</v>
      </c>
      <c r="M52" s="108">
        <f>'Baseline year demographics'!$C30</f>
        <v>0.88</v>
      </c>
      <c r="N52" s="108">
        <f>'Baseline year demographics'!$C30</f>
        <v>0.88</v>
      </c>
      <c r="O52" s="108">
        <f>'Baseline year demographics'!$C30</f>
        <v>0.88</v>
      </c>
    </row>
    <row r="53" spans="1:15" s="11" customFormat="1" ht="15.75" customHeight="1" x14ac:dyDescent="0.15">
      <c r="B53" s="12" t="s">
        <v>142</v>
      </c>
      <c r="C53" s="108">
        <v>0</v>
      </c>
      <c r="D53" s="108">
        <v>0</v>
      </c>
      <c r="E53" s="108">
        <f>'Baseline year demographics'!$C28</f>
        <v>0</v>
      </c>
      <c r="F53" s="108">
        <f>'Baseline year demographics'!$C28</f>
        <v>0</v>
      </c>
      <c r="G53" s="108">
        <f>'Baseline year demographics'!$C28</f>
        <v>0</v>
      </c>
      <c r="H53" s="108">
        <f>'Baseline year demographics'!$C28</f>
        <v>0</v>
      </c>
      <c r="I53" s="108">
        <f>'Baseline year demographics'!$C28</f>
        <v>0</v>
      </c>
      <c r="J53" s="108">
        <f>'Baseline year demographics'!$C28</f>
        <v>0</v>
      </c>
      <c r="K53" s="108">
        <f>'Baseline year demographics'!$C28</f>
        <v>0</v>
      </c>
      <c r="L53" s="108">
        <f>'Baseline year demographics'!$C28</f>
        <v>0</v>
      </c>
      <c r="M53" s="108">
        <f>'Baseline year demographics'!$C28</f>
        <v>0</v>
      </c>
      <c r="N53" s="108">
        <f>'Baseline year demographics'!$C28</f>
        <v>0</v>
      </c>
      <c r="O53" s="108">
        <f>'Baseline year demographics'!$C28</f>
        <v>0</v>
      </c>
    </row>
    <row r="54" spans="1:15" ht="15.75" customHeight="1" x14ac:dyDescent="0.15">
      <c r="B54" s="4" t="s">
        <v>93</v>
      </c>
      <c r="C54" s="3">
        <v>0</v>
      </c>
      <c r="D54" s="3">
        <v>0</v>
      </c>
      <c r="E54" s="20">
        <v>1</v>
      </c>
      <c r="F54" s="20">
        <v>1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57"/>
  <sheetViews>
    <sheetView workbookViewId="0">
      <selection activeCell="A14" sqref="A14:O14"/>
    </sheetView>
  </sheetViews>
  <sheetFormatPr baseColWidth="10" defaultColWidth="14.5" defaultRowHeight="13" x14ac:dyDescent="0.15"/>
  <cols>
    <col min="1" max="1" width="20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x14ac:dyDescent="0.15">
      <c r="A1" s="10" t="s">
        <v>75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15">
      <c r="A2" s="10" t="s">
        <v>71</v>
      </c>
      <c r="B2" s="40" t="s">
        <v>52</v>
      </c>
      <c r="C2" s="29">
        <v>1</v>
      </c>
      <c r="D2" s="29">
        <v>1</v>
      </c>
      <c r="E2" s="29">
        <v>0</v>
      </c>
      <c r="F2" s="29">
        <v>0</v>
      </c>
      <c r="G2" s="29">
        <v>0</v>
      </c>
      <c r="H2" s="29">
        <v>1</v>
      </c>
      <c r="I2" s="29">
        <v>1</v>
      </c>
      <c r="J2" s="29">
        <v>1</v>
      </c>
      <c r="K2" s="29">
        <v>1</v>
      </c>
      <c r="L2" s="29">
        <v>0</v>
      </c>
      <c r="M2" s="29">
        <v>0</v>
      </c>
      <c r="N2" s="29">
        <v>0</v>
      </c>
      <c r="O2" s="29">
        <v>0</v>
      </c>
    </row>
    <row r="3" spans="1:15" x14ac:dyDescent="0.15">
      <c r="A3" s="10"/>
      <c r="B3" s="4" t="s">
        <v>136</v>
      </c>
      <c r="C3" s="29">
        <v>0</v>
      </c>
      <c r="D3" s="29">
        <v>0</v>
      </c>
      <c r="E3" s="29">
        <v>1</v>
      </c>
      <c r="F3" s="29">
        <v>1</v>
      </c>
      <c r="G3" s="29">
        <v>1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</row>
    <row r="4" spans="1:15" x14ac:dyDescent="0.15">
      <c r="B4" s="4" t="s">
        <v>47</v>
      </c>
      <c r="C4" s="29">
        <v>0</v>
      </c>
      <c r="D4" s="29">
        <v>0</v>
      </c>
      <c r="E4" s="29">
        <v>1</v>
      </c>
      <c r="F4" s="29">
        <v>1</v>
      </c>
      <c r="G4" s="29">
        <v>1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</row>
    <row r="5" spans="1:15" x14ac:dyDescent="0.15">
      <c r="B5" s="40" t="s">
        <v>53</v>
      </c>
      <c r="C5" s="29">
        <v>0</v>
      </c>
      <c r="D5" s="29">
        <v>0</v>
      </c>
      <c r="E5" s="29">
        <v>1</v>
      </c>
      <c r="F5" s="29">
        <v>1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</row>
    <row r="6" spans="1:15" x14ac:dyDescent="0.15">
      <c r="B6" s="4" t="s">
        <v>123</v>
      </c>
      <c r="C6" s="29">
        <v>0</v>
      </c>
      <c r="D6" s="29">
        <v>0</v>
      </c>
      <c r="E6" s="29">
        <v>1</v>
      </c>
      <c r="F6" s="29">
        <v>1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</row>
    <row r="7" spans="1:15" x14ac:dyDescent="0.15">
      <c r="B7" s="4" t="s">
        <v>74</v>
      </c>
      <c r="C7" s="29">
        <v>0</v>
      </c>
      <c r="D7" s="29">
        <v>0</v>
      </c>
      <c r="E7" s="29">
        <v>1</v>
      </c>
      <c r="F7" s="29">
        <v>1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</row>
    <row r="8" spans="1:15" x14ac:dyDescent="0.15">
      <c r="B8" s="4" t="s">
        <v>132</v>
      </c>
      <c r="C8" s="29">
        <v>0</v>
      </c>
      <c r="D8" s="29">
        <v>0</v>
      </c>
      <c r="E8" s="29">
        <v>1</v>
      </c>
      <c r="F8" s="29">
        <v>1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</row>
    <row r="9" spans="1:15" x14ac:dyDescent="0.15">
      <c r="B9" s="4" t="s">
        <v>73</v>
      </c>
      <c r="C9" s="29">
        <v>0</v>
      </c>
      <c r="D9" s="29">
        <v>0</v>
      </c>
      <c r="E9" s="29">
        <v>1</v>
      </c>
      <c r="F9" s="29">
        <v>1</v>
      </c>
      <c r="G9" s="29">
        <v>1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</row>
    <row r="10" spans="1:15" x14ac:dyDescent="0.15">
      <c r="B10" s="4" t="s">
        <v>133</v>
      </c>
      <c r="C10" s="29">
        <v>0</v>
      </c>
      <c r="D10" s="29">
        <v>0</v>
      </c>
      <c r="E10" s="29">
        <v>1</v>
      </c>
      <c r="F10" s="29">
        <v>1</v>
      </c>
      <c r="G10" s="29">
        <v>1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</row>
    <row r="11" spans="1:15" x14ac:dyDescent="0.15">
      <c r="B11" s="4" t="s">
        <v>139</v>
      </c>
      <c r="C11" s="113">
        <v>0</v>
      </c>
      <c r="D11" s="113">
        <v>1</v>
      </c>
      <c r="E11" s="29">
        <v>1</v>
      </c>
      <c r="F11" s="29">
        <v>1</v>
      </c>
      <c r="G11" s="113">
        <v>1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</row>
    <row r="12" spans="1:15" x14ac:dyDescent="0.15">
      <c r="B12" s="4" t="s">
        <v>147</v>
      </c>
      <c r="C12" s="113">
        <v>0</v>
      </c>
      <c r="D12" s="113">
        <v>1</v>
      </c>
      <c r="E12" s="113">
        <v>1</v>
      </c>
      <c r="F12" s="113">
        <v>1</v>
      </c>
      <c r="G12" s="113">
        <v>1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</row>
    <row r="13" spans="1:15" x14ac:dyDescent="0.15">
      <c r="B13" s="4" t="s">
        <v>148</v>
      </c>
      <c r="C13" s="113">
        <v>0</v>
      </c>
      <c r="D13" s="113">
        <v>1</v>
      </c>
      <c r="E13" s="113">
        <v>1</v>
      </c>
      <c r="F13" s="113">
        <v>1</v>
      </c>
      <c r="G13" s="113">
        <v>1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</row>
    <row r="14" spans="1:15" x14ac:dyDescent="0.15">
      <c r="A14" s="155"/>
      <c r="B14" s="155" t="s">
        <v>274</v>
      </c>
      <c r="C14" s="108">
        <v>1</v>
      </c>
      <c r="D14" s="108">
        <v>1</v>
      </c>
      <c r="E14" s="108">
        <v>0</v>
      </c>
      <c r="F14" s="108">
        <v>0</v>
      </c>
      <c r="G14" s="108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15"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</row>
    <row r="16" spans="1:15" x14ac:dyDescent="0.15">
      <c r="A16" s="10" t="s">
        <v>72</v>
      </c>
      <c r="B16" t="s">
        <v>54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1</v>
      </c>
      <c r="I16" s="29">
        <v>1</v>
      </c>
      <c r="J16" s="29">
        <v>1</v>
      </c>
      <c r="K16" s="29">
        <v>1</v>
      </c>
      <c r="L16" s="29">
        <v>0</v>
      </c>
      <c r="M16" s="29">
        <v>0</v>
      </c>
      <c r="N16" s="29">
        <v>0</v>
      </c>
      <c r="O16" s="29">
        <v>0</v>
      </c>
    </row>
    <row r="17" spans="1:15" x14ac:dyDescent="0.15">
      <c r="A17" s="10"/>
      <c r="B17" t="s">
        <v>131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1</v>
      </c>
      <c r="I17" s="29">
        <v>1</v>
      </c>
      <c r="J17" s="29">
        <v>1</v>
      </c>
      <c r="K17" s="29">
        <v>1</v>
      </c>
      <c r="L17" s="29">
        <v>0</v>
      </c>
      <c r="M17" s="29">
        <v>0</v>
      </c>
      <c r="N17" s="29">
        <v>0</v>
      </c>
      <c r="O17" s="29">
        <v>0</v>
      </c>
    </row>
    <row r="18" spans="1:15" x14ac:dyDescent="0.15">
      <c r="B18" t="s">
        <v>134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1</v>
      </c>
      <c r="I18" s="29">
        <v>1</v>
      </c>
      <c r="J18" s="29">
        <v>1</v>
      </c>
      <c r="K18" s="29">
        <v>1</v>
      </c>
      <c r="L18" s="29">
        <v>0</v>
      </c>
      <c r="M18" s="29">
        <v>0</v>
      </c>
      <c r="N18" s="29">
        <v>0</v>
      </c>
      <c r="O18" s="29">
        <v>0</v>
      </c>
    </row>
    <row r="19" spans="1:15" x14ac:dyDescent="0.15">
      <c r="B19" s="4" t="s">
        <v>76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1</v>
      </c>
      <c r="I19" s="29">
        <v>1</v>
      </c>
      <c r="J19" s="29">
        <v>1</v>
      </c>
      <c r="K19" s="29">
        <v>1</v>
      </c>
      <c r="L19" s="29">
        <v>0</v>
      </c>
      <c r="M19" s="29">
        <v>0</v>
      </c>
      <c r="N19" s="29">
        <v>0</v>
      </c>
      <c r="O19" s="29">
        <v>0</v>
      </c>
    </row>
    <row r="20" spans="1:15" x14ac:dyDescent="0.15">
      <c r="B20" s="4" t="s">
        <v>135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1</v>
      </c>
      <c r="I20" s="29">
        <v>1</v>
      </c>
      <c r="J20" s="29">
        <v>1</v>
      </c>
      <c r="K20" s="29">
        <v>1</v>
      </c>
      <c r="L20" s="29">
        <v>0</v>
      </c>
      <c r="M20" s="29">
        <v>0</v>
      </c>
      <c r="N20" s="29">
        <v>0</v>
      </c>
      <c r="O20" s="29">
        <v>0</v>
      </c>
    </row>
    <row r="21" spans="1:15" x14ac:dyDescent="0.15">
      <c r="B21" t="s">
        <v>115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1</v>
      </c>
      <c r="I21" s="29">
        <v>1</v>
      </c>
      <c r="J21" s="29">
        <v>1</v>
      </c>
      <c r="K21" s="29">
        <v>1</v>
      </c>
      <c r="L21" s="29">
        <v>0</v>
      </c>
      <c r="M21" s="29">
        <v>0</v>
      </c>
      <c r="N21" s="29">
        <v>0</v>
      </c>
      <c r="O21" s="29">
        <v>0</v>
      </c>
    </row>
    <row r="22" spans="1:15" x14ac:dyDescent="0.15">
      <c r="B22" t="s">
        <v>157</v>
      </c>
      <c r="C22" s="29">
        <v>1</v>
      </c>
      <c r="D22" s="29">
        <v>1</v>
      </c>
      <c r="E22" s="29">
        <v>1</v>
      </c>
      <c r="F22" s="29">
        <v>1</v>
      </c>
      <c r="G22" s="29">
        <v>1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</row>
    <row r="23" spans="1:15" x14ac:dyDescent="0.15">
      <c r="B23" t="s">
        <v>158</v>
      </c>
      <c r="C23" s="29">
        <v>1</v>
      </c>
      <c r="D23" s="29">
        <v>1</v>
      </c>
      <c r="E23" s="29">
        <v>1</v>
      </c>
      <c r="F23" s="29">
        <v>1</v>
      </c>
      <c r="G23" s="29">
        <v>1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</row>
    <row r="24" spans="1:15" x14ac:dyDescent="0.15">
      <c r="B24" t="s">
        <v>159</v>
      </c>
      <c r="C24" s="29">
        <v>1</v>
      </c>
      <c r="D24" s="29">
        <v>1</v>
      </c>
      <c r="E24" s="29">
        <v>1</v>
      </c>
      <c r="F24" s="29">
        <v>1</v>
      </c>
      <c r="G24" s="29">
        <v>1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</row>
    <row r="25" spans="1:15" x14ac:dyDescent="0.15"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</row>
    <row r="26" spans="1:15" x14ac:dyDescent="0.15">
      <c r="A26" s="10" t="s">
        <v>80</v>
      </c>
      <c r="B26" t="s">
        <v>116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1</v>
      </c>
      <c r="M26" s="29">
        <v>0</v>
      </c>
      <c r="N26" s="29">
        <v>0</v>
      </c>
      <c r="O26" s="29">
        <v>0</v>
      </c>
    </row>
    <row r="27" spans="1:15" x14ac:dyDescent="0.15">
      <c r="B27" t="s">
        <v>117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1</v>
      </c>
      <c r="M27" s="29">
        <v>1</v>
      </c>
      <c r="N27" s="29">
        <v>1</v>
      </c>
      <c r="O27" s="29">
        <v>1</v>
      </c>
    </row>
    <row r="28" spans="1:15" x14ac:dyDescent="0.15">
      <c r="B28" t="s">
        <v>118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1</v>
      </c>
      <c r="M28" s="29">
        <v>1</v>
      </c>
      <c r="N28" s="29">
        <v>1</v>
      </c>
      <c r="O28" s="29">
        <v>1</v>
      </c>
    </row>
    <row r="29" spans="1:15" x14ac:dyDescent="0.15">
      <c r="B29" t="s">
        <v>119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1</v>
      </c>
      <c r="M29" s="29">
        <v>0</v>
      </c>
      <c r="N29" s="29">
        <v>0</v>
      </c>
      <c r="O29" s="29">
        <v>0</v>
      </c>
    </row>
    <row r="30" spans="1:15" x14ac:dyDescent="0.15">
      <c r="B30" t="s">
        <v>120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1</v>
      </c>
      <c r="M30" s="29">
        <v>1</v>
      </c>
      <c r="N30" s="29">
        <v>1</v>
      </c>
      <c r="O30" s="29">
        <v>1</v>
      </c>
    </row>
    <row r="31" spans="1:15" x14ac:dyDescent="0.15">
      <c r="B31" t="s">
        <v>121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1</v>
      </c>
      <c r="M31" s="29">
        <v>1</v>
      </c>
      <c r="N31" s="29">
        <v>1</v>
      </c>
      <c r="O31" s="29">
        <v>1</v>
      </c>
    </row>
    <row r="32" spans="1:15" x14ac:dyDescent="0.15">
      <c r="B32" t="s">
        <v>122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1</v>
      </c>
      <c r="M32" s="29">
        <v>1</v>
      </c>
      <c r="N32" s="29">
        <v>1</v>
      </c>
      <c r="O32" s="29">
        <v>1</v>
      </c>
    </row>
    <row r="33" spans="1:15" x14ac:dyDescent="0.15">
      <c r="A33" s="10"/>
      <c r="B33" t="s">
        <v>124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1</v>
      </c>
      <c r="M33" s="29">
        <v>0</v>
      </c>
      <c r="N33" s="29">
        <v>0</v>
      </c>
      <c r="O33" s="29">
        <v>0</v>
      </c>
    </row>
    <row r="34" spans="1:15" x14ac:dyDescent="0.15">
      <c r="B34" t="s">
        <v>125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1</v>
      </c>
      <c r="M34" s="29">
        <v>1</v>
      </c>
      <c r="N34" s="29">
        <v>1</v>
      </c>
      <c r="O34" s="29">
        <v>1</v>
      </c>
    </row>
    <row r="35" spans="1:15" x14ac:dyDescent="0.15">
      <c r="B35" t="s">
        <v>126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1</v>
      </c>
      <c r="M35" s="29">
        <v>1</v>
      </c>
      <c r="N35" s="29">
        <v>1</v>
      </c>
      <c r="O35" s="29">
        <v>1</v>
      </c>
    </row>
    <row r="36" spans="1:15" x14ac:dyDescent="0.15">
      <c r="B36" t="s">
        <v>127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1</v>
      </c>
      <c r="M36" s="29">
        <v>0</v>
      </c>
      <c r="N36" s="29">
        <v>0</v>
      </c>
      <c r="O36" s="29">
        <v>0</v>
      </c>
    </row>
    <row r="37" spans="1:15" x14ac:dyDescent="0.15">
      <c r="B37" t="s">
        <v>128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1</v>
      </c>
      <c r="M37" s="29">
        <v>1</v>
      </c>
      <c r="N37" s="29">
        <v>1</v>
      </c>
      <c r="O37" s="29">
        <v>1</v>
      </c>
    </row>
    <row r="38" spans="1:15" x14ac:dyDescent="0.15">
      <c r="B38" t="s">
        <v>129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1</v>
      </c>
      <c r="M38" s="29">
        <v>1</v>
      </c>
      <c r="N38" s="29">
        <v>1</v>
      </c>
      <c r="O38" s="29">
        <v>1</v>
      </c>
    </row>
    <row r="39" spans="1:15" x14ac:dyDescent="0.15">
      <c r="B39" t="s">
        <v>130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1</v>
      </c>
      <c r="M39" s="29">
        <v>1</v>
      </c>
      <c r="N39" s="29">
        <v>1</v>
      </c>
      <c r="O39" s="29">
        <v>1</v>
      </c>
    </row>
    <row r="40" spans="1:15" x14ac:dyDescent="0.15">
      <c r="B40" t="s">
        <v>181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30">
        <v>1</v>
      </c>
      <c r="M40" s="30">
        <v>1</v>
      </c>
      <c r="N40" s="30">
        <v>1</v>
      </c>
      <c r="O40" s="30">
        <v>1</v>
      </c>
    </row>
    <row r="41" spans="1:15" x14ac:dyDescent="0.15">
      <c r="B41" s="11" t="s">
        <v>240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1</v>
      </c>
      <c r="M41" s="29">
        <v>1</v>
      </c>
      <c r="N41" s="29">
        <v>1</v>
      </c>
      <c r="O41" s="29">
        <v>1</v>
      </c>
    </row>
    <row r="42" spans="1:15" x14ac:dyDescent="0.15">
      <c r="B42" s="12"/>
      <c r="C42" s="29"/>
      <c r="D42" s="29"/>
      <c r="E42" s="115"/>
      <c r="F42" s="115"/>
      <c r="G42" s="115"/>
      <c r="H42" s="115"/>
      <c r="I42" s="115"/>
      <c r="J42" s="114"/>
      <c r="K42" s="114"/>
      <c r="L42" s="114"/>
      <c r="M42" s="114"/>
      <c r="N42" s="114"/>
      <c r="O42" s="114"/>
    </row>
    <row r="43" spans="1:15" x14ac:dyDescent="0.15">
      <c r="A43" s="10" t="s">
        <v>78</v>
      </c>
      <c r="B43" t="s">
        <v>204</v>
      </c>
      <c r="C43" s="29">
        <v>1</v>
      </c>
      <c r="D43" s="29">
        <v>1</v>
      </c>
      <c r="E43" s="29">
        <v>1</v>
      </c>
      <c r="F43" s="29">
        <v>1</v>
      </c>
      <c r="G43" s="29">
        <v>1</v>
      </c>
      <c r="H43" s="29">
        <v>1</v>
      </c>
      <c r="I43" s="29">
        <v>1</v>
      </c>
      <c r="J43" s="29">
        <v>1</v>
      </c>
      <c r="K43" s="29">
        <v>1</v>
      </c>
      <c r="L43" s="29">
        <v>1</v>
      </c>
      <c r="M43" s="29">
        <v>1</v>
      </c>
      <c r="N43" s="29">
        <v>1</v>
      </c>
      <c r="O43" s="29">
        <v>1</v>
      </c>
    </row>
    <row r="44" spans="1:15" x14ac:dyDescent="0.15">
      <c r="B44" t="s">
        <v>205</v>
      </c>
      <c r="C44" s="29">
        <v>1</v>
      </c>
      <c r="D44" s="29">
        <v>1</v>
      </c>
      <c r="E44" s="29">
        <v>1</v>
      </c>
      <c r="F44" s="29">
        <v>1</v>
      </c>
      <c r="G44" s="29">
        <v>1</v>
      </c>
      <c r="H44" s="29">
        <v>1</v>
      </c>
      <c r="I44" s="29">
        <v>1</v>
      </c>
      <c r="J44" s="29">
        <v>1</v>
      </c>
      <c r="K44" s="29">
        <v>1</v>
      </c>
      <c r="L44" s="29">
        <v>1</v>
      </c>
      <c r="M44" s="29">
        <v>1</v>
      </c>
      <c r="N44" s="29">
        <v>1</v>
      </c>
      <c r="O44" s="29">
        <v>1</v>
      </c>
    </row>
    <row r="45" spans="1:15" x14ac:dyDescent="0.15">
      <c r="B45" t="s">
        <v>206</v>
      </c>
      <c r="C45" s="29">
        <v>1</v>
      </c>
      <c r="D45" s="29">
        <v>1</v>
      </c>
      <c r="E45" s="29">
        <v>1</v>
      </c>
      <c r="F45" s="29">
        <v>1</v>
      </c>
      <c r="G45" s="29">
        <v>1</v>
      </c>
      <c r="H45" s="29">
        <v>1</v>
      </c>
      <c r="I45" s="29">
        <v>1</v>
      </c>
      <c r="J45" s="29">
        <v>1</v>
      </c>
      <c r="K45" s="29">
        <v>1</v>
      </c>
      <c r="L45" s="29">
        <v>1</v>
      </c>
      <c r="M45" s="29">
        <v>1</v>
      </c>
      <c r="N45" s="29">
        <v>1</v>
      </c>
      <c r="O45" s="29">
        <v>1</v>
      </c>
    </row>
    <row r="46" spans="1:15" x14ac:dyDescent="0.15">
      <c r="B46" t="s">
        <v>207</v>
      </c>
      <c r="C46" s="29">
        <v>1</v>
      </c>
      <c r="D46" s="29">
        <v>1</v>
      </c>
      <c r="E46" s="29">
        <v>1</v>
      </c>
      <c r="F46" s="29">
        <v>1</v>
      </c>
      <c r="G46" s="29">
        <v>1</v>
      </c>
      <c r="H46" s="29">
        <v>1</v>
      </c>
      <c r="I46" s="29">
        <v>1</v>
      </c>
      <c r="J46" s="29">
        <v>1</v>
      </c>
      <c r="K46" s="29">
        <v>1</v>
      </c>
      <c r="L46" s="29">
        <v>1</v>
      </c>
      <c r="M46" s="29">
        <v>1</v>
      </c>
      <c r="N46" s="29">
        <v>1</v>
      </c>
      <c r="O46" s="29">
        <v>1</v>
      </c>
    </row>
    <row r="47" spans="1:15" x14ac:dyDescent="0.15">
      <c r="B47" t="s">
        <v>208</v>
      </c>
      <c r="C47" s="29">
        <v>1</v>
      </c>
      <c r="D47" s="29">
        <v>1</v>
      </c>
      <c r="E47" s="29">
        <v>1</v>
      </c>
      <c r="F47" s="29">
        <v>1</v>
      </c>
      <c r="G47" s="29">
        <v>1</v>
      </c>
      <c r="H47" s="29">
        <v>1</v>
      </c>
      <c r="I47" s="29">
        <v>1</v>
      </c>
      <c r="J47" s="29">
        <v>1</v>
      </c>
      <c r="K47" s="29">
        <v>1</v>
      </c>
      <c r="L47" s="29">
        <v>1</v>
      </c>
      <c r="M47" s="29">
        <v>1</v>
      </c>
      <c r="N47" s="29">
        <v>1</v>
      </c>
      <c r="O47" s="29">
        <v>1</v>
      </c>
    </row>
    <row r="48" spans="1:15" x14ac:dyDescent="0.15">
      <c r="B48" t="s">
        <v>209</v>
      </c>
      <c r="C48" s="29">
        <v>1</v>
      </c>
      <c r="D48" s="29">
        <v>1</v>
      </c>
      <c r="E48" s="29">
        <v>1</v>
      </c>
      <c r="F48" s="29">
        <v>1</v>
      </c>
      <c r="G48" s="29">
        <v>1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</row>
    <row r="49" spans="1:15" x14ac:dyDescent="0.15">
      <c r="B49" t="s">
        <v>213</v>
      </c>
      <c r="C49" s="29">
        <v>1</v>
      </c>
      <c r="D49" s="29">
        <v>1</v>
      </c>
      <c r="E49" s="29">
        <v>1</v>
      </c>
      <c r="F49" s="29">
        <v>1</v>
      </c>
      <c r="G49" s="29">
        <v>1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</row>
    <row r="50" spans="1:15" x14ac:dyDescent="0.15">
      <c r="B50" s="4" t="s">
        <v>210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1</v>
      </c>
      <c r="I50" s="29">
        <v>1</v>
      </c>
      <c r="J50" s="29">
        <v>1</v>
      </c>
      <c r="K50" s="29">
        <v>1</v>
      </c>
      <c r="L50" s="29">
        <v>0</v>
      </c>
      <c r="M50" s="29">
        <v>0</v>
      </c>
      <c r="N50" s="29">
        <v>0</v>
      </c>
      <c r="O50" s="29">
        <v>0</v>
      </c>
    </row>
    <row r="51" spans="1:15" x14ac:dyDescent="0.15">
      <c r="B51" s="4" t="s">
        <v>211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1</v>
      </c>
      <c r="I51" s="29">
        <v>1</v>
      </c>
      <c r="J51" s="29">
        <v>1</v>
      </c>
      <c r="K51" s="29">
        <v>1</v>
      </c>
      <c r="L51" s="29">
        <v>0</v>
      </c>
      <c r="M51" s="29">
        <v>0</v>
      </c>
      <c r="N51" s="29">
        <v>0</v>
      </c>
      <c r="O51" s="29">
        <v>0</v>
      </c>
    </row>
    <row r="52" spans="1:15" x14ac:dyDescent="0.15">
      <c r="B52" s="4" t="s">
        <v>212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1</v>
      </c>
      <c r="I52" s="29">
        <v>1</v>
      </c>
      <c r="J52" s="29">
        <v>1</v>
      </c>
      <c r="K52" s="29">
        <v>1</v>
      </c>
      <c r="L52" s="29">
        <v>0</v>
      </c>
      <c r="M52" s="29">
        <v>0</v>
      </c>
      <c r="N52" s="29">
        <v>0</v>
      </c>
      <c r="O52" s="29">
        <v>0</v>
      </c>
    </row>
    <row r="53" spans="1:15" x14ac:dyDescent="0.15">
      <c r="A53" s="11"/>
      <c r="B53" s="12" t="s">
        <v>77</v>
      </c>
      <c r="C53" s="30">
        <v>1</v>
      </c>
      <c r="D53" s="30">
        <v>1</v>
      </c>
      <c r="E53" s="30">
        <v>1</v>
      </c>
      <c r="F53" s="30">
        <v>1</v>
      </c>
      <c r="G53" s="30">
        <v>1</v>
      </c>
      <c r="H53" s="30">
        <v>1</v>
      </c>
      <c r="I53" s="30">
        <v>1</v>
      </c>
      <c r="J53" s="30">
        <v>1</v>
      </c>
      <c r="K53" s="30">
        <v>1</v>
      </c>
      <c r="L53" s="30">
        <v>1</v>
      </c>
      <c r="M53" s="30">
        <v>1</v>
      </c>
      <c r="N53" s="30">
        <v>1</v>
      </c>
      <c r="O53" s="30">
        <v>1</v>
      </c>
    </row>
    <row r="54" spans="1:15" s="11" customFormat="1" x14ac:dyDescent="0.15">
      <c r="B54" s="12" t="s">
        <v>140</v>
      </c>
      <c r="C54" s="113">
        <v>1</v>
      </c>
      <c r="D54" s="113">
        <v>0</v>
      </c>
      <c r="E54" s="116">
        <v>1</v>
      </c>
      <c r="F54" s="116">
        <v>1</v>
      </c>
      <c r="G54" s="116">
        <v>1</v>
      </c>
      <c r="H54" s="116">
        <v>1</v>
      </c>
      <c r="I54" s="116">
        <v>1</v>
      </c>
      <c r="J54" s="116">
        <v>1</v>
      </c>
      <c r="K54" s="116">
        <v>1</v>
      </c>
      <c r="L54" s="116">
        <v>1</v>
      </c>
      <c r="M54" s="116">
        <v>1</v>
      </c>
      <c r="N54" s="116">
        <v>1</v>
      </c>
      <c r="O54" s="116">
        <v>1</v>
      </c>
    </row>
    <row r="55" spans="1:15" s="11" customFormat="1" x14ac:dyDescent="0.15">
      <c r="B55" s="12" t="s">
        <v>141</v>
      </c>
      <c r="C55" s="113">
        <v>1</v>
      </c>
      <c r="D55" s="113">
        <v>0</v>
      </c>
      <c r="E55" s="113">
        <v>1</v>
      </c>
      <c r="F55" s="113">
        <v>1</v>
      </c>
      <c r="G55" s="113">
        <v>1</v>
      </c>
      <c r="H55" s="113">
        <v>1</v>
      </c>
      <c r="I55" s="113">
        <v>1</v>
      </c>
      <c r="J55" s="113">
        <v>1</v>
      </c>
      <c r="K55" s="113">
        <v>1</v>
      </c>
      <c r="L55" s="113">
        <v>1</v>
      </c>
      <c r="M55" s="113">
        <v>1</v>
      </c>
      <c r="N55" s="113">
        <v>1</v>
      </c>
      <c r="O55" s="113">
        <v>1</v>
      </c>
    </row>
    <row r="56" spans="1:15" s="11" customFormat="1" x14ac:dyDescent="0.15">
      <c r="B56" s="12" t="s">
        <v>142</v>
      </c>
      <c r="C56" s="113">
        <v>1</v>
      </c>
      <c r="D56" s="113">
        <v>0</v>
      </c>
      <c r="E56" s="113">
        <v>1</v>
      </c>
      <c r="F56" s="113">
        <v>1</v>
      </c>
      <c r="G56" s="113">
        <v>1</v>
      </c>
      <c r="H56" s="113">
        <v>1</v>
      </c>
      <c r="I56" s="113">
        <v>1</v>
      </c>
      <c r="J56" s="113">
        <v>1</v>
      </c>
      <c r="K56" s="113">
        <v>1</v>
      </c>
      <c r="L56" s="113">
        <v>1</v>
      </c>
      <c r="M56" s="113">
        <v>1</v>
      </c>
      <c r="N56" s="113">
        <v>1</v>
      </c>
      <c r="O56" s="113">
        <v>1</v>
      </c>
    </row>
    <row r="57" spans="1:15" x14ac:dyDescent="0.15">
      <c r="B57" s="4" t="s">
        <v>93</v>
      </c>
      <c r="C57" s="3">
        <v>1</v>
      </c>
      <c r="D57" s="3">
        <v>0</v>
      </c>
      <c r="E57" s="20">
        <v>1</v>
      </c>
      <c r="F57" s="20">
        <v>1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1"/>
  <sheetViews>
    <sheetView workbookViewId="0">
      <selection activeCell="A41" sqref="A41"/>
    </sheetView>
  </sheetViews>
  <sheetFormatPr baseColWidth="10" defaultColWidth="11.5" defaultRowHeight="13" x14ac:dyDescent="0.15"/>
  <cols>
    <col min="1" max="1" width="53" bestFit="1" customWidth="1"/>
    <col min="2" max="2" width="86" bestFit="1" customWidth="1"/>
    <col min="3" max="3" width="30.5" bestFit="1" customWidth="1"/>
  </cols>
  <sheetData>
    <row r="1" spans="1:3" x14ac:dyDescent="0.15">
      <c r="A1" s="10" t="s">
        <v>237</v>
      </c>
      <c r="B1" s="10" t="s">
        <v>241</v>
      </c>
      <c r="C1" s="10" t="s">
        <v>242</v>
      </c>
    </row>
    <row r="2" spans="1:3" x14ac:dyDescent="0.15">
      <c r="A2" t="s">
        <v>54</v>
      </c>
    </row>
    <row r="3" spans="1:3" x14ac:dyDescent="0.15">
      <c r="A3" s="4" t="s">
        <v>139</v>
      </c>
    </row>
    <row r="4" spans="1:3" ht="14" x14ac:dyDescent="0.15">
      <c r="A4" s="44" t="s">
        <v>181</v>
      </c>
    </row>
    <row r="5" spans="1:3" x14ac:dyDescent="0.15">
      <c r="A5" s="12" t="s">
        <v>141</v>
      </c>
    </row>
    <row r="6" spans="1:3" x14ac:dyDescent="0.15">
      <c r="A6" s="12" t="s">
        <v>142</v>
      </c>
    </row>
    <row r="7" spans="1:3" x14ac:dyDescent="0.15">
      <c r="A7" s="12" t="s">
        <v>140</v>
      </c>
    </row>
    <row r="8" spans="1:3" x14ac:dyDescent="0.15">
      <c r="A8" t="s">
        <v>120</v>
      </c>
    </row>
    <row r="9" spans="1:3" x14ac:dyDescent="0.15">
      <c r="A9" t="s">
        <v>128</v>
      </c>
      <c r="C9" s="4"/>
    </row>
    <row r="10" spans="1:3" x14ac:dyDescent="0.15">
      <c r="A10" t="s">
        <v>121</v>
      </c>
    </row>
    <row r="11" spans="1:3" x14ac:dyDescent="0.15">
      <c r="A11" t="s">
        <v>129</v>
      </c>
      <c r="C11" s="4"/>
    </row>
    <row r="12" spans="1:3" x14ac:dyDescent="0.15">
      <c r="A12" t="s">
        <v>122</v>
      </c>
    </row>
    <row r="13" spans="1:3" x14ac:dyDescent="0.15">
      <c r="A13" t="s">
        <v>130</v>
      </c>
      <c r="C13" s="4"/>
    </row>
    <row r="14" spans="1:3" x14ac:dyDescent="0.15">
      <c r="A14" t="s">
        <v>119</v>
      </c>
    </row>
    <row r="15" spans="1:3" x14ac:dyDescent="0.15">
      <c r="A15" t="s">
        <v>127</v>
      </c>
      <c r="C15" s="4"/>
    </row>
    <row r="16" spans="1:3" x14ac:dyDescent="0.15">
      <c r="A16" t="s">
        <v>117</v>
      </c>
    </row>
    <row r="17" spans="1:3" x14ac:dyDescent="0.15">
      <c r="A17" t="s">
        <v>125</v>
      </c>
      <c r="C17" s="4"/>
    </row>
    <row r="18" spans="1:3" x14ac:dyDescent="0.15">
      <c r="A18" t="s">
        <v>118</v>
      </c>
    </row>
    <row r="19" spans="1:3" x14ac:dyDescent="0.15">
      <c r="A19" t="s">
        <v>126</v>
      </c>
      <c r="C19" s="4"/>
    </row>
    <row r="20" spans="1:3" x14ac:dyDescent="0.15">
      <c r="A20" t="s">
        <v>116</v>
      </c>
    </row>
    <row r="21" spans="1:3" x14ac:dyDescent="0.15">
      <c r="A21" t="s">
        <v>124</v>
      </c>
      <c r="C21" s="4"/>
    </row>
    <row r="22" spans="1:3" x14ac:dyDescent="0.15">
      <c r="A22" t="s">
        <v>115</v>
      </c>
    </row>
    <row r="23" spans="1:3" x14ac:dyDescent="0.15">
      <c r="A23" s="4" t="s">
        <v>76</v>
      </c>
      <c r="B23" t="s">
        <v>131</v>
      </c>
    </row>
    <row r="24" spans="1:3" x14ac:dyDescent="0.15">
      <c r="A24" s="4" t="s">
        <v>135</v>
      </c>
      <c r="B24" t="s">
        <v>134</v>
      </c>
    </row>
    <row r="25" spans="1:3" x14ac:dyDescent="0.15">
      <c r="A25" s="4" t="s">
        <v>93</v>
      </c>
    </row>
    <row r="26" spans="1:3" x14ac:dyDescent="0.15">
      <c r="A26" s="4" t="s">
        <v>77</v>
      </c>
    </row>
    <row r="27" spans="1:3" x14ac:dyDescent="0.15">
      <c r="A27" t="s">
        <v>131</v>
      </c>
    </row>
    <row r="28" spans="1:3" x14ac:dyDescent="0.15">
      <c r="A28" t="s">
        <v>134</v>
      </c>
    </row>
    <row r="29" spans="1:3" x14ac:dyDescent="0.15">
      <c r="A29" s="4" t="s">
        <v>123</v>
      </c>
      <c r="B29" t="s">
        <v>243</v>
      </c>
    </row>
    <row r="30" spans="1:3" x14ac:dyDescent="0.15">
      <c r="A30" s="4" t="s">
        <v>74</v>
      </c>
    </row>
    <row r="31" spans="1:3" x14ac:dyDescent="0.15">
      <c r="A31" s="4" t="s">
        <v>132</v>
      </c>
      <c r="C31" s="4"/>
    </row>
    <row r="32" spans="1:3" x14ac:dyDescent="0.15">
      <c r="A32" s="4" t="s">
        <v>73</v>
      </c>
      <c r="B32" t="s">
        <v>74</v>
      </c>
    </row>
    <row r="33" spans="1:3" x14ac:dyDescent="0.15">
      <c r="A33" s="18" t="s">
        <v>133</v>
      </c>
      <c r="B33" t="s">
        <v>132</v>
      </c>
      <c r="C33" s="4"/>
    </row>
    <row r="34" spans="1:3" x14ac:dyDescent="0.15">
      <c r="A34" s="4" t="s">
        <v>147</v>
      </c>
    </row>
    <row r="35" spans="1:3" x14ac:dyDescent="0.15">
      <c r="A35" s="4" t="s">
        <v>148</v>
      </c>
    </row>
    <row r="36" spans="1:3" x14ac:dyDescent="0.15">
      <c r="A36" s="4" t="s">
        <v>47</v>
      </c>
      <c r="B36" s="4"/>
    </row>
    <row r="37" spans="1:3" x14ac:dyDescent="0.15">
      <c r="A37" s="4" t="s">
        <v>136</v>
      </c>
      <c r="B37" s="4"/>
    </row>
    <row r="38" spans="1:3" x14ac:dyDescent="0.15">
      <c r="A38" s="4" t="s">
        <v>157</v>
      </c>
    </row>
    <row r="39" spans="1:3" x14ac:dyDescent="0.15">
      <c r="A39" s="4" t="s">
        <v>158</v>
      </c>
    </row>
    <row r="40" spans="1:3" x14ac:dyDescent="0.15">
      <c r="A40" s="4" t="s">
        <v>159</v>
      </c>
    </row>
    <row r="41" spans="1:3" x14ac:dyDescent="0.15">
      <c r="A41" s="155" t="s">
        <v>274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52"/>
  <sheetViews>
    <sheetView topLeftCell="A31" workbookViewId="0">
      <selection activeCell="A52" sqref="A52:I52"/>
    </sheetView>
  </sheetViews>
  <sheetFormatPr baseColWidth="10" defaultColWidth="11.5" defaultRowHeight="13" x14ac:dyDescent="0.15"/>
  <cols>
    <col min="1" max="1" width="53" bestFit="1" customWidth="1"/>
    <col min="2" max="2" width="7.83203125" bestFit="1" customWidth="1"/>
    <col min="3" max="3" width="8" bestFit="1" customWidth="1"/>
    <col min="4" max="4" width="16.5" bestFit="1" customWidth="1"/>
    <col min="5" max="5" width="15.6640625" bestFit="1" customWidth="1"/>
    <col min="6" max="6" width="12.1640625" bestFit="1" customWidth="1"/>
    <col min="7" max="7" width="8.83203125" bestFit="1" customWidth="1"/>
    <col min="8" max="8" width="8" bestFit="1" customWidth="1"/>
    <col min="9" max="9" width="13.33203125" bestFit="1" customWidth="1"/>
    <col min="10" max="10" width="13.83203125" bestFit="1" customWidth="1"/>
    <col min="11" max="11" width="8.33203125" bestFit="1" customWidth="1"/>
  </cols>
  <sheetData>
    <row r="1" spans="1:11" x14ac:dyDescent="0.15">
      <c r="A1" s="10" t="s">
        <v>237</v>
      </c>
      <c r="B1" s="10" t="s">
        <v>13</v>
      </c>
      <c r="C1" s="10" t="s">
        <v>216</v>
      </c>
      <c r="D1" s="10" t="s">
        <v>244</v>
      </c>
      <c r="E1" s="10" t="s">
        <v>245</v>
      </c>
      <c r="F1" s="10" t="s">
        <v>36</v>
      </c>
      <c r="G1" s="10" t="s">
        <v>218</v>
      </c>
      <c r="H1" s="10" t="s">
        <v>246</v>
      </c>
      <c r="I1" s="10" t="s">
        <v>247</v>
      </c>
      <c r="J1" s="10" t="s">
        <v>248</v>
      </c>
      <c r="K1" s="10" t="s">
        <v>249</v>
      </c>
    </row>
    <row r="2" spans="1:11" x14ac:dyDescent="0.15">
      <c r="A2" t="s">
        <v>54</v>
      </c>
      <c r="I2" t="s">
        <v>161</v>
      </c>
    </row>
    <row r="3" spans="1:11" ht="14" x14ac:dyDescent="0.15">
      <c r="A3" s="50" t="s">
        <v>240</v>
      </c>
      <c r="K3" t="s">
        <v>161</v>
      </c>
    </row>
    <row r="4" spans="1:11" x14ac:dyDescent="0.15">
      <c r="A4" s="4" t="s">
        <v>210</v>
      </c>
      <c r="H4" t="s">
        <v>161</v>
      </c>
    </row>
    <row r="5" spans="1:11" x14ac:dyDescent="0.15">
      <c r="A5" s="4" t="s">
        <v>139</v>
      </c>
      <c r="D5" t="s">
        <v>161</v>
      </c>
    </row>
    <row r="6" spans="1:11" x14ac:dyDescent="0.15">
      <c r="A6" t="s">
        <v>181</v>
      </c>
      <c r="J6" t="s">
        <v>161</v>
      </c>
    </row>
    <row r="7" spans="1:11" x14ac:dyDescent="0.15">
      <c r="A7" s="4" t="s">
        <v>141</v>
      </c>
      <c r="C7" t="s">
        <v>161</v>
      </c>
      <c r="H7" t="s">
        <v>161</v>
      </c>
    </row>
    <row r="8" spans="1:11" x14ac:dyDescent="0.15">
      <c r="A8" s="4" t="s">
        <v>142</v>
      </c>
      <c r="C8" t="s">
        <v>161</v>
      </c>
      <c r="H8" t="s">
        <v>161</v>
      </c>
    </row>
    <row r="9" spans="1:11" x14ac:dyDescent="0.15">
      <c r="A9" s="4" t="s">
        <v>140</v>
      </c>
      <c r="C9" t="s">
        <v>161</v>
      </c>
      <c r="H9" t="s">
        <v>161</v>
      </c>
    </row>
    <row r="10" spans="1:11" x14ac:dyDescent="0.15">
      <c r="A10" t="s">
        <v>120</v>
      </c>
      <c r="C10" t="s">
        <v>161</v>
      </c>
    </row>
    <row r="11" spans="1:11" x14ac:dyDescent="0.15">
      <c r="A11" t="s">
        <v>128</v>
      </c>
      <c r="C11" t="s">
        <v>161</v>
      </c>
    </row>
    <row r="12" spans="1:11" x14ac:dyDescent="0.15">
      <c r="A12" t="s">
        <v>121</v>
      </c>
      <c r="C12" t="s">
        <v>161</v>
      </c>
    </row>
    <row r="13" spans="1:11" x14ac:dyDescent="0.15">
      <c r="A13" t="s">
        <v>129</v>
      </c>
      <c r="C13" t="s">
        <v>161</v>
      </c>
    </row>
    <row r="14" spans="1:11" x14ac:dyDescent="0.15">
      <c r="A14" t="s">
        <v>122</v>
      </c>
      <c r="C14" t="s">
        <v>161</v>
      </c>
    </row>
    <row r="15" spans="1:11" x14ac:dyDescent="0.15">
      <c r="A15" t="s">
        <v>130</v>
      </c>
      <c r="C15" t="s">
        <v>161</v>
      </c>
    </row>
    <row r="16" spans="1:11" x14ac:dyDescent="0.15">
      <c r="A16" t="s">
        <v>119</v>
      </c>
      <c r="C16" t="s">
        <v>161</v>
      </c>
    </row>
    <row r="17" spans="1:9" x14ac:dyDescent="0.15">
      <c r="A17" t="s">
        <v>127</v>
      </c>
      <c r="C17" t="s">
        <v>161</v>
      </c>
    </row>
    <row r="18" spans="1:9" x14ac:dyDescent="0.15">
      <c r="A18" t="s">
        <v>117</v>
      </c>
      <c r="C18" t="s">
        <v>161</v>
      </c>
    </row>
    <row r="19" spans="1:9" x14ac:dyDescent="0.15">
      <c r="A19" t="s">
        <v>125</v>
      </c>
      <c r="C19" t="s">
        <v>161</v>
      </c>
    </row>
    <row r="20" spans="1:9" x14ac:dyDescent="0.15">
      <c r="A20" t="s">
        <v>118</v>
      </c>
      <c r="C20" t="s">
        <v>161</v>
      </c>
    </row>
    <row r="21" spans="1:9" x14ac:dyDescent="0.15">
      <c r="A21" t="s">
        <v>126</v>
      </c>
      <c r="C21" t="s">
        <v>161</v>
      </c>
    </row>
    <row r="22" spans="1:9" x14ac:dyDescent="0.15">
      <c r="A22" t="s">
        <v>116</v>
      </c>
      <c r="C22" t="s">
        <v>161</v>
      </c>
    </row>
    <row r="23" spans="1:9" x14ac:dyDescent="0.15">
      <c r="A23" t="s">
        <v>124</v>
      </c>
      <c r="C23" t="s">
        <v>161</v>
      </c>
    </row>
    <row r="24" spans="1:9" x14ac:dyDescent="0.15">
      <c r="A24" t="s">
        <v>115</v>
      </c>
      <c r="C24" t="s">
        <v>161</v>
      </c>
      <c r="H24" t="s">
        <v>161</v>
      </c>
      <c r="I24" t="s">
        <v>161</v>
      </c>
    </row>
    <row r="25" spans="1:9" x14ac:dyDescent="0.15">
      <c r="A25" s="4" t="s">
        <v>76</v>
      </c>
      <c r="C25" t="s">
        <v>161</v>
      </c>
      <c r="I25" t="s">
        <v>161</v>
      </c>
    </row>
    <row r="26" spans="1:9" x14ac:dyDescent="0.15">
      <c r="A26" s="4" t="s">
        <v>135</v>
      </c>
      <c r="C26" t="s">
        <v>161</v>
      </c>
      <c r="I26" t="s">
        <v>161</v>
      </c>
    </row>
    <row r="27" spans="1:9" x14ac:dyDescent="0.15">
      <c r="A27" s="4" t="s">
        <v>93</v>
      </c>
      <c r="C27" t="s">
        <v>161</v>
      </c>
    </row>
    <row r="28" spans="1:9" x14ac:dyDescent="0.15">
      <c r="A28" s="4" t="s">
        <v>77</v>
      </c>
      <c r="C28" t="s">
        <v>161</v>
      </c>
      <c r="I28" t="s">
        <v>161</v>
      </c>
    </row>
    <row r="29" spans="1:9" x14ac:dyDescent="0.15">
      <c r="A29" s="4" t="s">
        <v>212</v>
      </c>
      <c r="H29" t="s">
        <v>161</v>
      </c>
    </row>
    <row r="30" spans="1:9" x14ac:dyDescent="0.15">
      <c r="A30" s="4" t="s">
        <v>211</v>
      </c>
      <c r="H30" t="s">
        <v>161</v>
      </c>
    </row>
    <row r="31" spans="1:9" x14ac:dyDescent="0.15">
      <c r="A31" t="s">
        <v>131</v>
      </c>
      <c r="C31" t="s">
        <v>161</v>
      </c>
      <c r="I31" t="s">
        <v>161</v>
      </c>
    </row>
    <row r="32" spans="1:9" x14ac:dyDescent="0.15">
      <c r="A32" t="s">
        <v>134</v>
      </c>
      <c r="C32" t="s">
        <v>161</v>
      </c>
      <c r="I32" t="s">
        <v>161</v>
      </c>
    </row>
    <row r="33" spans="1:8" x14ac:dyDescent="0.15">
      <c r="A33" t="s">
        <v>209</v>
      </c>
      <c r="G33" t="s">
        <v>161</v>
      </c>
    </row>
    <row r="34" spans="1:8" x14ac:dyDescent="0.15">
      <c r="A34" s="4" t="s">
        <v>123</v>
      </c>
      <c r="B34" t="s">
        <v>161</v>
      </c>
      <c r="D34" t="s">
        <v>161</v>
      </c>
    </row>
    <row r="35" spans="1:8" x14ac:dyDescent="0.15">
      <c r="A35" s="4" t="s">
        <v>74</v>
      </c>
      <c r="B35" t="s">
        <v>161</v>
      </c>
      <c r="C35" t="s">
        <v>161</v>
      </c>
      <c r="D35" t="s">
        <v>161</v>
      </c>
    </row>
    <row r="36" spans="1:8" x14ac:dyDescent="0.15">
      <c r="A36" s="4" t="s">
        <v>132</v>
      </c>
      <c r="B36" t="s">
        <v>161</v>
      </c>
      <c r="C36" t="s">
        <v>161</v>
      </c>
      <c r="D36" t="s">
        <v>161</v>
      </c>
    </row>
    <row r="37" spans="1:8" x14ac:dyDescent="0.15">
      <c r="A37" s="4" t="s">
        <v>73</v>
      </c>
      <c r="C37" t="s">
        <v>161</v>
      </c>
    </row>
    <row r="38" spans="1:8" x14ac:dyDescent="0.15">
      <c r="A38" s="4" t="s">
        <v>133</v>
      </c>
      <c r="C38" t="s">
        <v>161</v>
      </c>
    </row>
    <row r="39" spans="1:8" x14ac:dyDescent="0.15">
      <c r="A39" s="4" t="s">
        <v>147</v>
      </c>
      <c r="E39" t="s">
        <v>161</v>
      </c>
    </row>
    <row r="40" spans="1:8" x14ac:dyDescent="0.15">
      <c r="A40" s="4" t="s">
        <v>148</v>
      </c>
      <c r="E40" t="s">
        <v>161</v>
      </c>
    </row>
    <row r="41" spans="1:8" x14ac:dyDescent="0.15">
      <c r="A41" s="4" t="s">
        <v>47</v>
      </c>
      <c r="G41" t="s">
        <v>161</v>
      </c>
      <c r="H41" t="s">
        <v>161</v>
      </c>
    </row>
    <row r="42" spans="1:8" x14ac:dyDescent="0.15">
      <c r="A42" t="s">
        <v>208</v>
      </c>
      <c r="G42" t="s">
        <v>161</v>
      </c>
      <c r="H42" t="s">
        <v>161</v>
      </c>
    </row>
    <row r="43" spans="1:8" x14ac:dyDescent="0.15">
      <c r="A43" t="s">
        <v>207</v>
      </c>
      <c r="G43" t="s">
        <v>161</v>
      </c>
      <c r="H43" t="s">
        <v>161</v>
      </c>
    </row>
    <row r="44" spans="1:8" x14ac:dyDescent="0.15">
      <c r="A44" t="s">
        <v>206</v>
      </c>
      <c r="G44" t="s">
        <v>161</v>
      </c>
      <c r="H44" t="s">
        <v>161</v>
      </c>
    </row>
    <row r="45" spans="1:8" x14ac:dyDescent="0.15">
      <c r="A45" t="s">
        <v>204</v>
      </c>
      <c r="G45" t="s">
        <v>161</v>
      </c>
      <c r="H45" t="s">
        <v>161</v>
      </c>
    </row>
    <row r="46" spans="1:8" x14ac:dyDescent="0.15">
      <c r="A46" t="s">
        <v>205</v>
      </c>
      <c r="G46" t="s">
        <v>161</v>
      </c>
      <c r="H46" t="s">
        <v>161</v>
      </c>
    </row>
    <row r="47" spans="1:8" x14ac:dyDescent="0.15">
      <c r="A47" t="s">
        <v>213</v>
      </c>
      <c r="H47" t="s">
        <v>161</v>
      </c>
    </row>
    <row r="48" spans="1:8" x14ac:dyDescent="0.15">
      <c r="A48" s="4" t="s">
        <v>136</v>
      </c>
      <c r="B48" s="89" t="s">
        <v>161</v>
      </c>
      <c r="G48" s="89" t="s">
        <v>161</v>
      </c>
      <c r="H48" s="89" t="s">
        <v>161</v>
      </c>
    </row>
    <row r="49" spans="1:9" x14ac:dyDescent="0.15">
      <c r="A49" s="117" t="s">
        <v>157</v>
      </c>
      <c r="B49" t="s">
        <v>161</v>
      </c>
      <c r="F49" t="s">
        <v>161</v>
      </c>
    </row>
    <row r="50" spans="1:9" x14ac:dyDescent="0.15">
      <c r="A50" s="117" t="s">
        <v>158</v>
      </c>
      <c r="B50" t="s">
        <v>161</v>
      </c>
      <c r="F50" t="s">
        <v>161</v>
      </c>
    </row>
    <row r="51" spans="1:9" x14ac:dyDescent="0.15">
      <c r="A51" s="117" t="s">
        <v>159</v>
      </c>
      <c r="B51" t="s">
        <v>161</v>
      </c>
      <c r="F51" t="s">
        <v>161</v>
      </c>
    </row>
    <row r="52" spans="1:9" x14ac:dyDescent="0.15">
      <c r="A52" s="155" t="s">
        <v>274</v>
      </c>
      <c r="B52" s="155"/>
      <c r="C52" s="155"/>
      <c r="D52" s="155"/>
      <c r="E52" s="155"/>
      <c r="F52" s="155"/>
      <c r="G52" s="155"/>
      <c r="H52" s="155" t="s">
        <v>161</v>
      </c>
      <c r="I52" s="155" t="s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4"/>
  <sheetViews>
    <sheetView workbookViewId="0">
      <selection activeCell="D24" sqref="D24"/>
    </sheetView>
  </sheetViews>
  <sheetFormatPr baseColWidth="10" defaultColWidth="11.5" defaultRowHeight="13" x14ac:dyDescent="0.15"/>
  <cols>
    <col min="1" max="1" width="15.1640625" bestFit="1" customWidth="1"/>
    <col min="2" max="2" width="7.83203125" bestFit="1" customWidth="1"/>
    <col min="3" max="3" width="8" bestFit="1" customWidth="1"/>
    <col min="4" max="4" width="16.5" bestFit="1" customWidth="1"/>
    <col min="5" max="5" width="15.6640625" bestFit="1" customWidth="1"/>
    <col min="6" max="6" width="12.1640625" bestFit="1" customWidth="1"/>
    <col min="7" max="7" width="8.83203125" bestFit="1" customWidth="1"/>
    <col min="8" max="8" width="8" bestFit="1" customWidth="1"/>
    <col min="9" max="9" width="13.33203125" bestFit="1" customWidth="1"/>
    <col min="10" max="10" width="13.83203125" bestFit="1" customWidth="1"/>
    <col min="11" max="11" width="8.33203125" bestFit="1" customWidth="1"/>
  </cols>
  <sheetData>
    <row r="1" spans="1:11" x14ac:dyDescent="0.15">
      <c r="A1" s="10" t="s">
        <v>250</v>
      </c>
      <c r="B1" s="10" t="s">
        <v>13</v>
      </c>
      <c r="C1" s="10" t="s">
        <v>216</v>
      </c>
      <c r="D1" s="10" t="s">
        <v>244</v>
      </c>
      <c r="E1" s="10" t="s">
        <v>245</v>
      </c>
      <c r="F1" s="10" t="s">
        <v>36</v>
      </c>
      <c r="G1" s="10" t="s">
        <v>218</v>
      </c>
      <c r="H1" s="10" t="s">
        <v>246</v>
      </c>
      <c r="I1" s="10" t="s">
        <v>247</v>
      </c>
      <c r="J1" s="10" t="s">
        <v>248</v>
      </c>
      <c r="K1" s="10" t="s">
        <v>249</v>
      </c>
    </row>
    <row r="2" spans="1:11" x14ac:dyDescent="0.15">
      <c r="A2" s="10" t="s">
        <v>6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J2" s="11" t="s">
        <v>161</v>
      </c>
    </row>
    <row r="3" spans="1:11" x14ac:dyDescent="0.15">
      <c r="A3" s="10" t="s">
        <v>7</v>
      </c>
      <c r="B3" t="s">
        <v>161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J3" s="11" t="s">
        <v>161</v>
      </c>
    </row>
    <row r="4" spans="1:11" x14ac:dyDescent="0.15">
      <c r="A4" s="10" t="s">
        <v>8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J4" s="11" t="s">
        <v>161</v>
      </c>
    </row>
    <row r="5" spans="1:11" x14ac:dyDescent="0.15">
      <c r="A5" s="10" t="s">
        <v>9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J5" s="11" t="s">
        <v>161</v>
      </c>
    </row>
    <row r="6" spans="1:11" x14ac:dyDescent="0.15">
      <c r="A6" s="10" t="s">
        <v>10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J6" s="11" t="s">
        <v>161</v>
      </c>
    </row>
    <row r="7" spans="1:11" x14ac:dyDescent="0.15">
      <c r="A7" s="10" t="s">
        <v>111</v>
      </c>
      <c r="C7" t="s">
        <v>161</v>
      </c>
      <c r="H7" t="s">
        <v>161</v>
      </c>
      <c r="I7" t="s">
        <v>161</v>
      </c>
      <c r="J7" s="11"/>
    </row>
    <row r="8" spans="1:11" x14ac:dyDescent="0.15">
      <c r="A8" s="10" t="s">
        <v>112</v>
      </c>
      <c r="C8" t="s">
        <v>161</v>
      </c>
      <c r="H8" t="s">
        <v>161</v>
      </c>
      <c r="I8" t="s">
        <v>161</v>
      </c>
      <c r="J8" s="11"/>
    </row>
    <row r="9" spans="1:11" x14ac:dyDescent="0.15">
      <c r="A9" s="10" t="s">
        <v>113</v>
      </c>
      <c r="C9" t="s">
        <v>161</v>
      </c>
      <c r="H9" t="s">
        <v>161</v>
      </c>
      <c r="I9" t="s">
        <v>161</v>
      </c>
      <c r="J9" s="11"/>
    </row>
    <row r="10" spans="1:11" x14ac:dyDescent="0.15">
      <c r="A10" s="10" t="s">
        <v>114</v>
      </c>
      <c r="C10" t="s">
        <v>161</v>
      </c>
      <c r="H10" t="s">
        <v>161</v>
      </c>
      <c r="I10" t="s">
        <v>161</v>
      </c>
      <c r="J10" s="11"/>
    </row>
    <row r="11" spans="1:11" x14ac:dyDescent="0.15">
      <c r="A11" s="10" t="s">
        <v>107</v>
      </c>
      <c r="C11" t="s">
        <v>161</v>
      </c>
    </row>
    <row r="12" spans="1:11" x14ac:dyDescent="0.15">
      <c r="A12" s="10" t="s">
        <v>108</v>
      </c>
      <c r="C12" t="s">
        <v>161</v>
      </c>
    </row>
    <row r="13" spans="1:11" x14ac:dyDescent="0.15">
      <c r="A13" s="10" t="s">
        <v>109</v>
      </c>
      <c r="C13" t="s">
        <v>161</v>
      </c>
    </row>
    <row r="14" spans="1:11" x14ac:dyDescent="0.15">
      <c r="A14" s="10" t="s">
        <v>110</v>
      </c>
      <c r="C14" t="s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52"/>
  <sheetViews>
    <sheetView tabSelected="1" topLeftCell="A34" workbookViewId="0">
      <selection activeCell="A52" sqref="A52:D52"/>
    </sheetView>
  </sheetViews>
  <sheetFormatPr baseColWidth="10" defaultColWidth="14.5" defaultRowHeight="15.75" customHeight="1" x14ac:dyDescent="0.15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4" ht="15.75" customHeight="1" x14ac:dyDescent="0.2">
      <c r="A1" s="118" t="s">
        <v>237</v>
      </c>
      <c r="B1" s="118" t="s">
        <v>251</v>
      </c>
      <c r="C1" s="118" t="s">
        <v>137</v>
      </c>
      <c r="D1" s="118" t="s">
        <v>138</v>
      </c>
    </row>
    <row r="2" spans="1:4" ht="15.75" customHeight="1" x14ac:dyDescent="0.2">
      <c r="A2" s="121" t="s">
        <v>54</v>
      </c>
      <c r="B2" s="122">
        <v>0</v>
      </c>
      <c r="C2" s="121">
        <v>0.95</v>
      </c>
      <c r="D2" s="121">
        <v>25</v>
      </c>
    </row>
    <row r="3" spans="1:4" ht="15.75" customHeight="1" x14ac:dyDescent="0.2">
      <c r="A3" s="121" t="s">
        <v>240</v>
      </c>
      <c r="B3" s="122">
        <v>0</v>
      </c>
      <c r="C3" s="121">
        <v>0.95</v>
      </c>
      <c r="D3" s="121">
        <v>0.8</v>
      </c>
    </row>
    <row r="4" spans="1:4" ht="15.75" customHeight="1" x14ac:dyDescent="0.2">
      <c r="A4" s="121" t="s">
        <v>210</v>
      </c>
      <c r="B4" s="122">
        <v>0</v>
      </c>
      <c r="C4" s="121">
        <v>0.95</v>
      </c>
      <c r="D4" s="121">
        <v>7</v>
      </c>
    </row>
    <row r="5" spans="1:4" ht="15.75" customHeight="1" x14ac:dyDescent="0.2">
      <c r="A5" s="125" t="s">
        <v>139</v>
      </c>
      <c r="B5" s="124">
        <v>0.18</v>
      </c>
      <c r="C5" s="147">
        <v>0.95</v>
      </c>
      <c r="D5" s="147">
        <v>60</v>
      </c>
    </row>
    <row r="6" spans="1:4" ht="15.75" customHeight="1" x14ac:dyDescent="0.2">
      <c r="A6" s="121" t="s">
        <v>181</v>
      </c>
      <c r="B6" s="122">
        <v>0</v>
      </c>
      <c r="C6" s="121">
        <v>0.95</v>
      </c>
      <c r="D6" s="121">
        <f>SUM('Programs family planning'!E2:E10)</f>
        <v>0</v>
      </c>
    </row>
    <row r="7" spans="1:4" ht="15.75" customHeight="1" x14ac:dyDescent="0.2">
      <c r="A7" s="123" t="s">
        <v>141</v>
      </c>
      <c r="B7" s="124">
        <v>0</v>
      </c>
      <c r="C7" s="146">
        <v>0.95</v>
      </c>
      <c r="D7" s="146">
        <f>0.25/((9862402+13370081 )/57310019)</f>
        <v>0.61670139821042802</v>
      </c>
    </row>
    <row r="8" spans="1:4" ht="15.75" customHeight="1" x14ac:dyDescent="0.2">
      <c r="A8" s="121" t="s">
        <v>142</v>
      </c>
      <c r="B8" s="121">
        <v>0</v>
      </c>
      <c r="C8" s="121">
        <v>0.95</v>
      </c>
      <c r="D8" s="121">
        <v>0.75</v>
      </c>
    </row>
    <row r="9" spans="1:4" ht="15.75" customHeight="1" x14ac:dyDescent="0.2">
      <c r="A9" s="121" t="s">
        <v>140</v>
      </c>
      <c r="B9" s="121">
        <v>0</v>
      </c>
      <c r="C9" s="121">
        <v>0.95</v>
      </c>
      <c r="D9" s="121">
        <v>0.19</v>
      </c>
    </row>
    <row r="10" spans="1:4" ht="15.75" customHeight="1" x14ac:dyDescent="0.2">
      <c r="A10" s="121" t="s">
        <v>120</v>
      </c>
      <c r="B10" s="121">
        <v>0</v>
      </c>
      <c r="C10" s="121">
        <v>0.95</v>
      </c>
      <c r="D10" s="121">
        <v>0.73</v>
      </c>
    </row>
    <row r="11" spans="1:4" ht="15.75" customHeight="1" x14ac:dyDescent="0.2">
      <c r="A11" s="121" t="s">
        <v>128</v>
      </c>
      <c r="B11" s="121">
        <v>0</v>
      </c>
      <c r="C11" s="121">
        <v>0.95</v>
      </c>
      <c r="D11" s="121">
        <v>0.73</v>
      </c>
    </row>
    <row r="12" spans="1:4" ht="15.75" customHeight="1" x14ac:dyDescent="0.2">
      <c r="A12" s="121" t="s">
        <v>121</v>
      </c>
      <c r="B12" s="121">
        <v>0</v>
      </c>
      <c r="C12" s="121">
        <v>0.95</v>
      </c>
      <c r="D12" s="121">
        <v>1.78</v>
      </c>
    </row>
    <row r="13" spans="1:4" ht="15.75" customHeight="1" x14ac:dyDescent="0.2">
      <c r="A13" s="121" t="s">
        <v>129</v>
      </c>
      <c r="B13" s="121">
        <v>0</v>
      </c>
      <c r="C13" s="121">
        <v>0.95</v>
      </c>
      <c r="D13" s="121">
        <v>1.78</v>
      </c>
    </row>
    <row r="14" spans="1:4" ht="15.75" customHeight="1" x14ac:dyDescent="0.2">
      <c r="A14" s="121" t="s">
        <v>122</v>
      </c>
      <c r="B14" s="121">
        <v>0</v>
      </c>
      <c r="C14" s="121">
        <v>0.95</v>
      </c>
      <c r="D14" s="121">
        <v>0.24</v>
      </c>
    </row>
    <row r="15" spans="1:4" ht="15.75" customHeight="1" x14ac:dyDescent="0.2">
      <c r="A15" s="121" t="s">
        <v>130</v>
      </c>
      <c r="B15" s="121">
        <v>0</v>
      </c>
      <c r="C15" s="121">
        <v>0.95</v>
      </c>
      <c r="D15" s="121">
        <v>0.24</v>
      </c>
    </row>
    <row r="16" spans="1:4" ht="15.75" customHeight="1" x14ac:dyDescent="0.2">
      <c r="A16" s="121" t="s">
        <v>119</v>
      </c>
      <c r="B16" s="121">
        <v>0</v>
      </c>
      <c r="C16" s="121">
        <v>0.95</v>
      </c>
      <c r="D16" s="121">
        <v>0.55000000000000004</v>
      </c>
    </row>
    <row r="17" spans="1:4" ht="15.75" customHeight="1" x14ac:dyDescent="0.2">
      <c r="A17" s="121" t="s">
        <v>127</v>
      </c>
      <c r="B17" s="121">
        <v>0</v>
      </c>
      <c r="C17" s="121">
        <v>0.95</v>
      </c>
      <c r="D17" s="121">
        <v>0.55000000000000004</v>
      </c>
    </row>
    <row r="18" spans="1:4" ht="15.75" customHeight="1" x14ac:dyDescent="0.2">
      <c r="A18" s="121" t="s">
        <v>117</v>
      </c>
      <c r="B18" s="121">
        <v>0</v>
      </c>
      <c r="C18" s="121">
        <v>0.95</v>
      </c>
      <c r="D18" s="121">
        <v>0.73</v>
      </c>
    </row>
    <row r="19" spans="1:4" ht="15.75" customHeight="1" x14ac:dyDescent="0.2">
      <c r="A19" s="121" t="s">
        <v>125</v>
      </c>
      <c r="B19" s="121">
        <v>0</v>
      </c>
      <c r="C19" s="121">
        <v>0.95</v>
      </c>
      <c r="D19" s="121">
        <v>0.73</v>
      </c>
    </row>
    <row r="20" spans="1:4" ht="15.75" customHeight="1" x14ac:dyDescent="0.2">
      <c r="A20" s="121" t="s">
        <v>118</v>
      </c>
      <c r="B20" s="121">
        <v>0</v>
      </c>
      <c r="C20" s="121">
        <v>0.95</v>
      </c>
      <c r="D20" s="121">
        <v>1.78</v>
      </c>
    </row>
    <row r="21" spans="1:4" ht="15.75" customHeight="1" x14ac:dyDescent="0.2">
      <c r="A21" s="121" t="s">
        <v>126</v>
      </c>
      <c r="B21" s="121">
        <v>0</v>
      </c>
      <c r="C21" s="121">
        <v>0.95</v>
      </c>
      <c r="D21" s="121">
        <v>1.78</v>
      </c>
    </row>
    <row r="22" spans="1:4" ht="15.75" customHeight="1" x14ac:dyDescent="0.2">
      <c r="A22" s="121" t="s">
        <v>116</v>
      </c>
      <c r="B22" s="121">
        <v>0</v>
      </c>
      <c r="C22" s="121">
        <v>0.95</v>
      </c>
      <c r="D22" s="121">
        <v>0.55000000000000004</v>
      </c>
    </row>
    <row r="23" spans="1:4" ht="15.75" customHeight="1" x14ac:dyDescent="0.2">
      <c r="A23" s="121" t="s">
        <v>124</v>
      </c>
      <c r="B23" s="121">
        <v>0</v>
      </c>
      <c r="C23" s="121">
        <v>0.95</v>
      </c>
      <c r="D23" s="121">
        <v>0.55000000000000004</v>
      </c>
    </row>
    <row r="24" spans="1:4" ht="15.75" customHeight="1" x14ac:dyDescent="0.2">
      <c r="A24" s="119" t="s">
        <v>115</v>
      </c>
      <c r="B24" s="120">
        <v>0.39900000000000002</v>
      </c>
      <c r="C24" s="146">
        <v>0.95</v>
      </c>
      <c r="D24" s="146">
        <v>2.06</v>
      </c>
    </row>
    <row r="25" spans="1:4" ht="15.75" customHeight="1" x14ac:dyDescent="0.2">
      <c r="A25" s="121" t="s">
        <v>76</v>
      </c>
      <c r="B25" s="121">
        <v>0</v>
      </c>
      <c r="C25" s="121">
        <v>0.95</v>
      </c>
      <c r="D25" s="121">
        <v>1.78</v>
      </c>
    </row>
    <row r="26" spans="1:4" ht="15.75" customHeight="1" x14ac:dyDescent="0.2">
      <c r="A26" s="125" t="s">
        <v>135</v>
      </c>
      <c r="B26" s="124">
        <v>0.89400000000000002</v>
      </c>
      <c r="C26" s="147">
        <v>0.95</v>
      </c>
      <c r="D26" s="147">
        <v>3.78</v>
      </c>
    </row>
    <row r="27" spans="1:4" ht="15.75" customHeight="1" x14ac:dyDescent="0.2">
      <c r="A27" s="121" t="s">
        <v>93</v>
      </c>
      <c r="B27" s="122">
        <v>0.80800000000000005</v>
      </c>
      <c r="C27" s="121">
        <v>0.95</v>
      </c>
      <c r="D27" s="121">
        <v>0.05</v>
      </c>
    </row>
    <row r="28" spans="1:4" ht="15.75" customHeight="1" x14ac:dyDescent="0.2">
      <c r="A28" s="121" t="s">
        <v>77</v>
      </c>
      <c r="B28" s="122">
        <v>0.50800000000000001</v>
      </c>
      <c r="C28" s="121">
        <v>0.95</v>
      </c>
      <c r="D28" s="121">
        <v>2.61</v>
      </c>
    </row>
    <row r="29" spans="1:4" ht="15.75" customHeight="1" x14ac:dyDescent="0.2">
      <c r="A29" s="121" t="s">
        <v>212</v>
      </c>
      <c r="B29" s="122">
        <v>0</v>
      </c>
      <c r="C29" s="121">
        <v>0.95</v>
      </c>
      <c r="D29" s="121">
        <v>11</v>
      </c>
    </row>
    <row r="30" spans="1:4" ht="15.75" customHeight="1" x14ac:dyDescent="0.2">
      <c r="A30" s="121" t="s">
        <v>211</v>
      </c>
      <c r="B30" s="122">
        <v>0</v>
      </c>
      <c r="C30" s="121">
        <v>0.95</v>
      </c>
      <c r="D30" s="121">
        <v>11</v>
      </c>
    </row>
    <row r="31" spans="1:4" ht="15.75" customHeight="1" x14ac:dyDescent="0.2">
      <c r="A31" s="121" t="s">
        <v>131</v>
      </c>
      <c r="B31" s="121">
        <v>0</v>
      </c>
      <c r="C31" s="121">
        <v>0.95</v>
      </c>
      <c r="D31" s="121">
        <v>2.99</v>
      </c>
    </row>
    <row r="32" spans="1:4" ht="15.75" customHeight="1" x14ac:dyDescent="0.2">
      <c r="A32" s="121" t="s">
        <v>134</v>
      </c>
      <c r="B32" s="122">
        <v>0.3538</v>
      </c>
      <c r="C32" s="121">
        <v>0.95</v>
      </c>
      <c r="D32" s="121">
        <v>3.78</v>
      </c>
    </row>
    <row r="33" spans="1:4" ht="15.75" customHeight="1" x14ac:dyDescent="0.2">
      <c r="A33" s="121" t="s">
        <v>209</v>
      </c>
      <c r="B33" s="122">
        <v>0</v>
      </c>
      <c r="C33" s="121">
        <v>0.95</v>
      </c>
      <c r="D33" s="121">
        <v>23.84</v>
      </c>
    </row>
    <row r="34" spans="1:4" ht="15.75" customHeight="1" x14ac:dyDescent="0.2">
      <c r="A34" s="121" t="s">
        <v>123</v>
      </c>
      <c r="B34" s="122">
        <v>0</v>
      </c>
      <c r="C34" s="121">
        <v>0.95</v>
      </c>
      <c r="D34" s="121">
        <v>48</v>
      </c>
    </row>
    <row r="35" spans="1:4" ht="15.75" customHeight="1" x14ac:dyDescent="0.2">
      <c r="A35" s="121" t="s">
        <v>74</v>
      </c>
      <c r="B35" s="121">
        <v>0</v>
      </c>
      <c r="C35" s="121">
        <v>0.95</v>
      </c>
      <c r="D35" s="121">
        <v>50</v>
      </c>
    </row>
    <row r="36" spans="1:4" ht="15.75" customHeight="1" x14ac:dyDescent="0.2">
      <c r="A36" s="121" t="s">
        <v>132</v>
      </c>
      <c r="B36" s="121">
        <v>0</v>
      </c>
      <c r="C36" s="121">
        <v>0.95</v>
      </c>
      <c r="D36" s="121">
        <v>51</v>
      </c>
    </row>
    <row r="37" spans="1:4" ht="15.75" customHeight="1" x14ac:dyDescent="0.2">
      <c r="A37" s="121" t="s">
        <v>73</v>
      </c>
      <c r="B37" s="121">
        <v>0</v>
      </c>
      <c r="C37" s="121">
        <v>0.95</v>
      </c>
      <c r="D37" s="121">
        <v>4.6500000000000004</v>
      </c>
    </row>
    <row r="38" spans="1:4" ht="15.75" customHeight="1" x14ac:dyDescent="0.2">
      <c r="A38" s="123" t="s">
        <v>133</v>
      </c>
      <c r="B38" s="120">
        <v>0.1</v>
      </c>
      <c r="C38" s="146">
        <v>0.95</v>
      </c>
      <c r="D38" s="146">
        <v>4.6500000000000004</v>
      </c>
    </row>
    <row r="39" spans="1:4" ht="15.75" customHeight="1" x14ac:dyDescent="0.2">
      <c r="A39" s="123" t="s">
        <v>147</v>
      </c>
      <c r="B39" s="120">
        <v>0</v>
      </c>
      <c r="C39" s="146">
        <v>0.95</v>
      </c>
      <c r="D39" s="140">
        <f>40*AVERAGE('Incidence of conditions'!B5:F5)</f>
        <v>4.7507200000000003</v>
      </c>
    </row>
    <row r="40" spans="1:4" ht="15.75" customHeight="1" x14ac:dyDescent="0.2">
      <c r="A40" s="123" t="s">
        <v>148</v>
      </c>
      <c r="B40" s="120">
        <v>0.14499999999999999</v>
      </c>
      <c r="C40" s="146">
        <v>0.95</v>
      </c>
      <c r="D40" s="140">
        <f>90*AVERAGE('Incidence of conditions'!B6:F6)</f>
        <v>5.3024400000000007</v>
      </c>
    </row>
    <row r="41" spans="1:4" ht="15.75" customHeight="1" x14ac:dyDescent="0.2">
      <c r="A41" s="123" t="s">
        <v>47</v>
      </c>
      <c r="B41" s="120">
        <v>1</v>
      </c>
      <c r="C41" s="120">
        <v>1</v>
      </c>
      <c r="D41" s="146">
        <v>0.41</v>
      </c>
    </row>
    <row r="42" spans="1:4" ht="15.75" customHeight="1" x14ac:dyDescent="0.2">
      <c r="A42" s="121" t="s">
        <v>208</v>
      </c>
      <c r="B42" s="122">
        <v>0.80700000000000005</v>
      </c>
      <c r="C42" s="121">
        <v>0.95</v>
      </c>
      <c r="D42" s="121">
        <v>0.9</v>
      </c>
    </row>
    <row r="43" spans="1:4" ht="15.75" customHeight="1" x14ac:dyDescent="0.2">
      <c r="A43" s="121" t="s">
        <v>207</v>
      </c>
      <c r="B43" s="122">
        <v>0.73199999999999998</v>
      </c>
      <c r="C43" s="121">
        <v>0.95</v>
      </c>
      <c r="D43" s="121">
        <v>0.9</v>
      </c>
    </row>
    <row r="44" spans="1:4" ht="15.75" customHeight="1" x14ac:dyDescent="0.2">
      <c r="A44" s="121" t="s">
        <v>206</v>
      </c>
      <c r="B44" s="122">
        <v>0.316</v>
      </c>
      <c r="C44" s="121">
        <v>0.95</v>
      </c>
      <c r="D44" s="121">
        <v>79</v>
      </c>
    </row>
    <row r="45" spans="1:4" ht="15.75" customHeight="1" x14ac:dyDescent="0.2">
      <c r="A45" s="121" t="s">
        <v>204</v>
      </c>
      <c r="B45" s="122">
        <v>0.59699999999999998</v>
      </c>
      <c r="C45" s="121">
        <v>0.95</v>
      </c>
      <c r="D45" s="121">
        <v>31</v>
      </c>
    </row>
    <row r="46" spans="1:4" ht="15.75" customHeight="1" x14ac:dyDescent="0.2">
      <c r="A46" s="121" t="s">
        <v>205</v>
      </c>
      <c r="B46" s="122">
        <v>0.19900000000000001</v>
      </c>
      <c r="C46" s="121">
        <v>0.95</v>
      </c>
      <c r="D46" s="121">
        <v>102</v>
      </c>
    </row>
    <row r="47" spans="1:4" ht="15.75" customHeight="1" x14ac:dyDescent="0.2">
      <c r="A47" s="119" t="s">
        <v>213</v>
      </c>
      <c r="B47" s="126">
        <v>9.1999999999999998E-2</v>
      </c>
      <c r="C47" s="146">
        <v>0.95</v>
      </c>
      <c r="D47" s="140">
        <v>5.53</v>
      </c>
    </row>
    <row r="48" spans="1:4" ht="15.75" customHeight="1" x14ac:dyDescent="0.2">
      <c r="A48" s="121" t="s">
        <v>136</v>
      </c>
      <c r="B48" s="121">
        <v>0</v>
      </c>
      <c r="C48" s="121">
        <v>0.95</v>
      </c>
      <c r="D48" s="121">
        <v>4</v>
      </c>
    </row>
    <row r="49" spans="1:4" s="11" customFormat="1" ht="15.75" customHeight="1" x14ac:dyDescent="0.2">
      <c r="A49" s="119" t="s">
        <v>157</v>
      </c>
      <c r="B49" s="144">
        <v>0</v>
      </c>
      <c r="C49" s="145">
        <v>0.95</v>
      </c>
      <c r="D49" s="143" t="s">
        <v>252</v>
      </c>
    </row>
    <row r="50" spans="1:4" ht="15.75" customHeight="1" x14ac:dyDescent="0.2">
      <c r="A50" s="121" t="s">
        <v>158</v>
      </c>
      <c r="B50" s="121">
        <v>0</v>
      </c>
      <c r="C50" s="121">
        <v>0.95</v>
      </c>
      <c r="D50" s="121" t="s">
        <v>252</v>
      </c>
    </row>
    <row r="51" spans="1:4" ht="15.75" customHeight="1" x14ac:dyDescent="0.2">
      <c r="A51" s="121" t="s">
        <v>159</v>
      </c>
      <c r="B51" s="121">
        <v>0</v>
      </c>
      <c r="C51" s="121">
        <v>0.95</v>
      </c>
      <c r="D51" s="121" t="s">
        <v>252</v>
      </c>
    </row>
    <row r="52" spans="1:4" ht="15.75" customHeight="1" x14ac:dyDescent="0.15">
      <c r="A52" s="155" t="s">
        <v>274</v>
      </c>
      <c r="B52" s="157">
        <v>0</v>
      </c>
      <c r="C52" s="158">
        <v>0.95</v>
      </c>
      <c r="D52" s="158">
        <v>8.84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03"/>
  <sheetViews>
    <sheetView topLeftCell="A81" workbookViewId="0">
      <selection activeCell="A102" sqref="A102:C103"/>
    </sheetView>
  </sheetViews>
  <sheetFormatPr baseColWidth="10" defaultColWidth="11.5" defaultRowHeight="13" x14ac:dyDescent="0.15"/>
  <sheetData>
    <row r="1" spans="1:16" x14ac:dyDescent="0.15">
      <c r="A1" s="10" t="s">
        <v>237</v>
      </c>
      <c r="B1" s="10" t="s">
        <v>253</v>
      </c>
      <c r="C1" s="127">
        <f>'Baseline year demographics'!C2+1</f>
        <v>2018</v>
      </c>
      <c r="D1" s="127">
        <f>C1+1</f>
        <v>2019</v>
      </c>
      <c r="E1" s="127">
        <f t="shared" ref="E1:P1" si="0">D1+1</f>
        <v>2020</v>
      </c>
      <c r="F1" s="127">
        <f t="shared" si="0"/>
        <v>2021</v>
      </c>
      <c r="G1" s="127">
        <f t="shared" si="0"/>
        <v>2022</v>
      </c>
      <c r="H1" s="127">
        <f t="shared" si="0"/>
        <v>2023</v>
      </c>
      <c r="I1" s="127">
        <f t="shared" si="0"/>
        <v>2024</v>
      </c>
      <c r="J1" s="127">
        <f t="shared" si="0"/>
        <v>2025</v>
      </c>
      <c r="K1" s="127">
        <f t="shared" si="0"/>
        <v>2026</v>
      </c>
      <c r="L1" s="127">
        <f t="shared" si="0"/>
        <v>2027</v>
      </c>
      <c r="M1" s="127">
        <f t="shared" si="0"/>
        <v>2028</v>
      </c>
      <c r="N1" s="127">
        <f t="shared" si="0"/>
        <v>2029</v>
      </c>
      <c r="O1" s="127">
        <f t="shared" si="0"/>
        <v>2030</v>
      </c>
      <c r="P1" s="127">
        <f t="shared" si="0"/>
        <v>2031</v>
      </c>
    </row>
    <row r="2" spans="1:16" x14ac:dyDescent="0.15">
      <c r="A2" t="str">
        <f>'Programs to include'!A2</f>
        <v>Balanced energy-protein supplementation</v>
      </c>
      <c r="B2" s="89" t="s">
        <v>254</v>
      </c>
      <c r="C2" s="23"/>
    </row>
    <row r="3" spans="1:16" x14ac:dyDescent="0.15">
      <c r="A3" t="str">
        <f>A2</f>
        <v>Balanced energy-protein supplementation</v>
      </c>
      <c r="B3" s="89" t="s">
        <v>255</v>
      </c>
      <c r="C3" s="23"/>
    </row>
    <row r="4" spans="1:16" x14ac:dyDescent="0.15">
      <c r="A4" t="str">
        <f>'Programs to include'!A3</f>
        <v>Birth age program</v>
      </c>
      <c r="B4" s="89" t="s">
        <v>254</v>
      </c>
      <c r="C4" s="23"/>
    </row>
    <row r="5" spans="1:16" x14ac:dyDescent="0.15">
      <c r="A5" t="str">
        <f>A4</f>
        <v>Birth age program</v>
      </c>
      <c r="B5" s="89" t="s">
        <v>255</v>
      </c>
      <c r="C5" s="23"/>
    </row>
    <row r="6" spans="1:16" x14ac:dyDescent="0.15">
      <c r="A6" t="str">
        <f>'Programs to include'!A4</f>
        <v>Calcium supplementation</v>
      </c>
      <c r="B6" s="89" t="s">
        <v>254</v>
      </c>
      <c r="C6" s="23"/>
    </row>
    <row r="7" spans="1:16" x14ac:dyDescent="0.15">
      <c r="A7" t="str">
        <f>A6</f>
        <v>Calcium supplementation</v>
      </c>
      <c r="B7" s="89" t="s">
        <v>255</v>
      </c>
      <c r="C7" s="23"/>
    </row>
    <row r="8" spans="1:16" x14ac:dyDescent="0.15">
      <c r="A8" t="str">
        <f>'Programs to include'!A5</f>
        <v>Cash transfers</v>
      </c>
      <c r="B8" s="89" t="s">
        <v>254</v>
      </c>
      <c r="C8" s="23"/>
    </row>
    <row r="9" spans="1:16" x14ac:dyDescent="0.15">
      <c r="A9" t="str">
        <f>A8</f>
        <v>Cash transfers</v>
      </c>
      <c r="B9" s="89" t="s">
        <v>255</v>
      </c>
      <c r="C9" s="23"/>
    </row>
    <row r="10" spans="1:16" x14ac:dyDescent="0.15">
      <c r="A10" t="str">
        <f>'Programs to include'!A6</f>
        <v>Family Planning</v>
      </c>
      <c r="B10" s="89" t="s">
        <v>254</v>
      </c>
      <c r="C10" s="23"/>
    </row>
    <row r="11" spans="1:16" x14ac:dyDescent="0.15">
      <c r="A11" t="str">
        <f>A10</f>
        <v>Family Planning</v>
      </c>
      <c r="B11" s="89" t="s">
        <v>255</v>
      </c>
      <c r="C11" s="23"/>
    </row>
    <row r="12" spans="1:16" x14ac:dyDescent="0.15">
      <c r="A12" t="str">
        <f>'Programs to include'!A7</f>
        <v>IFA fortification of maize</v>
      </c>
      <c r="B12" s="89" t="s">
        <v>254</v>
      </c>
      <c r="C12" s="23"/>
    </row>
    <row r="13" spans="1:16" x14ac:dyDescent="0.15">
      <c r="A13" t="str">
        <f>A12</f>
        <v>IFA fortification of maize</v>
      </c>
      <c r="B13" s="89" t="s">
        <v>255</v>
      </c>
      <c r="C13" s="23"/>
    </row>
    <row r="14" spans="1:16" x14ac:dyDescent="0.15">
      <c r="A14" t="str">
        <f>'Programs to include'!A8</f>
        <v>IFA fortification of rice</v>
      </c>
      <c r="B14" s="89" t="s">
        <v>254</v>
      </c>
      <c r="C14" s="23"/>
    </row>
    <row r="15" spans="1:16" x14ac:dyDescent="0.15">
      <c r="A15" t="str">
        <f>A14</f>
        <v>IFA fortification of rice</v>
      </c>
      <c r="B15" s="89" t="s">
        <v>255</v>
      </c>
      <c r="C15" s="23"/>
    </row>
    <row r="16" spans="1:16" x14ac:dyDescent="0.15">
      <c r="A16" t="str">
        <f>'Programs to include'!A9</f>
        <v>IFA fortification of wheat flour</v>
      </c>
      <c r="B16" s="89" t="s">
        <v>254</v>
      </c>
      <c r="C16" s="23"/>
    </row>
    <row r="17" spans="1:3" x14ac:dyDescent="0.15">
      <c r="A17" t="str">
        <f>A16</f>
        <v>IFA fortification of wheat flour</v>
      </c>
      <c r="B17" s="89" t="s">
        <v>255</v>
      </c>
      <c r="C17" s="23"/>
    </row>
    <row r="18" spans="1:3" x14ac:dyDescent="0.15">
      <c r="A18" t="str">
        <f>'Programs to include'!A10</f>
        <v>IFAS not poor: community</v>
      </c>
      <c r="B18" s="89" t="s">
        <v>254</v>
      </c>
      <c r="C18" s="23"/>
    </row>
    <row r="19" spans="1:3" x14ac:dyDescent="0.15">
      <c r="A19" t="str">
        <f>A18</f>
        <v>IFAS not poor: community</v>
      </c>
      <c r="B19" s="89" t="s">
        <v>255</v>
      </c>
      <c r="C19" s="23"/>
    </row>
    <row r="20" spans="1:3" x14ac:dyDescent="0.15">
      <c r="A20" t="str">
        <f>'Programs to include'!A11</f>
        <v>IFAS not poor: community (malaria area)</v>
      </c>
      <c r="B20" s="89" t="s">
        <v>254</v>
      </c>
      <c r="C20" s="23"/>
    </row>
    <row r="21" spans="1:3" x14ac:dyDescent="0.15">
      <c r="A21" t="str">
        <f>A20</f>
        <v>IFAS not poor: community (malaria area)</v>
      </c>
      <c r="B21" s="89" t="s">
        <v>255</v>
      </c>
      <c r="C21" s="23"/>
    </row>
    <row r="22" spans="1:3" x14ac:dyDescent="0.15">
      <c r="A22" t="str">
        <f>'Programs to include'!A12</f>
        <v>IFAS not poor: hospital</v>
      </c>
      <c r="B22" s="89" t="s">
        <v>254</v>
      </c>
      <c r="C22" s="23"/>
    </row>
    <row r="23" spans="1:3" x14ac:dyDescent="0.15">
      <c r="A23" t="str">
        <f>A22</f>
        <v>IFAS not poor: hospital</v>
      </c>
      <c r="B23" s="89" t="s">
        <v>255</v>
      </c>
      <c r="C23" s="23"/>
    </row>
    <row r="24" spans="1:3" x14ac:dyDescent="0.15">
      <c r="A24" t="str">
        <f>'Programs to include'!A13</f>
        <v>IFAS not poor: hospital (malaria area)</v>
      </c>
      <c r="B24" s="89" t="s">
        <v>254</v>
      </c>
      <c r="C24" s="23"/>
    </row>
    <row r="25" spans="1:3" x14ac:dyDescent="0.15">
      <c r="A25" t="str">
        <f>A24</f>
        <v>IFAS not poor: hospital (malaria area)</v>
      </c>
      <c r="B25" s="89" t="s">
        <v>255</v>
      </c>
      <c r="C25" s="23"/>
    </row>
    <row r="26" spans="1:3" x14ac:dyDescent="0.15">
      <c r="A26" t="str">
        <f>'Programs to include'!A14</f>
        <v>IFAS not poor: retailer</v>
      </c>
      <c r="B26" s="89" t="s">
        <v>254</v>
      </c>
      <c r="C26" s="23"/>
    </row>
    <row r="27" spans="1:3" x14ac:dyDescent="0.15">
      <c r="A27" t="str">
        <f>A26</f>
        <v>IFAS not poor: retailer</v>
      </c>
      <c r="B27" s="89" t="s">
        <v>255</v>
      </c>
      <c r="C27" s="23"/>
    </row>
    <row r="28" spans="1:3" x14ac:dyDescent="0.15">
      <c r="A28" t="str">
        <f>'Programs to include'!A15</f>
        <v>IFAS not poor: retailer (malaria area)</v>
      </c>
      <c r="B28" s="89" t="s">
        <v>254</v>
      </c>
      <c r="C28" s="23"/>
    </row>
    <row r="29" spans="1:3" x14ac:dyDescent="0.15">
      <c r="A29" t="str">
        <f>A28</f>
        <v>IFAS not poor: retailer (malaria area)</v>
      </c>
      <c r="B29" s="89" t="s">
        <v>255</v>
      </c>
      <c r="C29" s="23"/>
    </row>
    <row r="30" spans="1:3" x14ac:dyDescent="0.15">
      <c r="A30" t="str">
        <f>'Programs to include'!A16</f>
        <v>IFAS not poor: school</v>
      </c>
      <c r="B30" s="89" t="s">
        <v>254</v>
      </c>
      <c r="C30" s="23"/>
    </row>
    <row r="31" spans="1:3" x14ac:dyDescent="0.15">
      <c r="A31" t="str">
        <f>A30</f>
        <v>IFAS not poor: school</v>
      </c>
      <c r="B31" s="89" t="s">
        <v>255</v>
      </c>
      <c r="C31" s="23"/>
    </row>
    <row r="32" spans="1:3" x14ac:dyDescent="0.15">
      <c r="A32" t="str">
        <f>'Programs to include'!A17</f>
        <v>IFAS not poor: school (malaria area)</v>
      </c>
      <c r="B32" s="89" t="s">
        <v>254</v>
      </c>
      <c r="C32" s="23"/>
    </row>
    <row r="33" spans="1:3" x14ac:dyDescent="0.15">
      <c r="A33" t="str">
        <f>A32</f>
        <v>IFAS not poor: school (malaria area)</v>
      </c>
      <c r="B33" s="89" t="s">
        <v>255</v>
      </c>
      <c r="C33" s="23"/>
    </row>
    <row r="34" spans="1:3" x14ac:dyDescent="0.15">
      <c r="A34" t="str">
        <f>'Programs to include'!A18</f>
        <v>IFAS poor: community</v>
      </c>
      <c r="B34" s="89" t="s">
        <v>254</v>
      </c>
      <c r="C34" s="23"/>
    </row>
    <row r="35" spans="1:3" x14ac:dyDescent="0.15">
      <c r="A35" t="str">
        <f>A34</f>
        <v>IFAS poor: community</v>
      </c>
      <c r="B35" s="89" t="s">
        <v>255</v>
      </c>
      <c r="C35" s="23"/>
    </row>
    <row r="36" spans="1:3" x14ac:dyDescent="0.15">
      <c r="A36" t="str">
        <f>'Programs to include'!A19</f>
        <v>IFAS poor: community (malaria area)</v>
      </c>
      <c r="B36" s="89" t="s">
        <v>254</v>
      </c>
      <c r="C36" s="23"/>
    </row>
    <row r="37" spans="1:3" x14ac:dyDescent="0.15">
      <c r="A37" t="str">
        <f>A36</f>
        <v>IFAS poor: community (malaria area)</v>
      </c>
      <c r="B37" s="89" t="s">
        <v>255</v>
      </c>
      <c r="C37" s="23"/>
    </row>
    <row r="38" spans="1:3" x14ac:dyDescent="0.15">
      <c r="A38" t="str">
        <f>'Programs to include'!A20</f>
        <v>IFAS poor: hospital</v>
      </c>
      <c r="B38" s="89" t="s">
        <v>254</v>
      </c>
      <c r="C38" s="23"/>
    </row>
    <row r="39" spans="1:3" x14ac:dyDescent="0.15">
      <c r="A39" t="str">
        <f>A38</f>
        <v>IFAS poor: hospital</v>
      </c>
      <c r="B39" s="89" t="s">
        <v>255</v>
      </c>
      <c r="C39" s="23"/>
    </row>
    <row r="40" spans="1:3" x14ac:dyDescent="0.15">
      <c r="A40" t="str">
        <f>'Programs to include'!A21</f>
        <v>IFAS poor: hospital (malaria area)</v>
      </c>
      <c r="B40" s="89" t="s">
        <v>254</v>
      </c>
      <c r="C40" s="23"/>
    </row>
    <row r="41" spans="1:3" x14ac:dyDescent="0.15">
      <c r="A41" t="str">
        <f>A40</f>
        <v>IFAS poor: hospital (malaria area)</v>
      </c>
      <c r="B41" s="89" t="s">
        <v>255</v>
      </c>
      <c r="C41" s="23"/>
    </row>
    <row r="42" spans="1:3" x14ac:dyDescent="0.15">
      <c r="A42" t="str">
        <f>'Programs to include'!A22</f>
        <v>IFAS poor: school</v>
      </c>
      <c r="B42" s="89" t="s">
        <v>254</v>
      </c>
      <c r="C42" s="23"/>
    </row>
    <row r="43" spans="1:3" x14ac:dyDescent="0.15">
      <c r="A43" t="str">
        <f>A42</f>
        <v>IFAS poor: school</v>
      </c>
      <c r="B43" s="89" t="s">
        <v>255</v>
      </c>
      <c r="C43" s="23"/>
    </row>
    <row r="44" spans="1:3" x14ac:dyDescent="0.15">
      <c r="A44" t="str">
        <f>'Programs to include'!A23</f>
        <v>IFAS poor: school (malaria area)</v>
      </c>
      <c r="B44" s="89" t="s">
        <v>254</v>
      </c>
      <c r="C44" s="23"/>
    </row>
    <row r="45" spans="1:3" x14ac:dyDescent="0.15">
      <c r="A45" t="str">
        <f>A44</f>
        <v>IFAS poor: school (malaria area)</v>
      </c>
      <c r="B45" s="89" t="s">
        <v>255</v>
      </c>
      <c r="C45" s="23"/>
    </row>
    <row r="46" spans="1:3" x14ac:dyDescent="0.15">
      <c r="A46" t="str">
        <f>'Programs to include'!A24</f>
        <v>IPTp</v>
      </c>
      <c r="B46" s="89" t="s">
        <v>254</v>
      </c>
      <c r="C46" s="23"/>
    </row>
    <row r="47" spans="1:3" x14ac:dyDescent="0.15">
      <c r="A47" t="str">
        <f>A46</f>
        <v>IPTp</v>
      </c>
      <c r="B47" s="89" t="s">
        <v>255</v>
      </c>
      <c r="C47" s="23"/>
    </row>
    <row r="48" spans="1:3" x14ac:dyDescent="0.15">
      <c r="A48" t="str">
        <f>'Programs to include'!A25</f>
        <v>Iron and folic acid supplementation for pregnant women</v>
      </c>
      <c r="B48" s="89" t="s">
        <v>254</v>
      </c>
      <c r="C48" s="23"/>
    </row>
    <row r="49" spans="1:3" x14ac:dyDescent="0.15">
      <c r="A49" t="str">
        <f>A48</f>
        <v>Iron and folic acid supplementation for pregnant women</v>
      </c>
      <c r="B49" s="89" t="s">
        <v>255</v>
      </c>
      <c r="C49" s="23"/>
    </row>
    <row r="50" spans="1:3" x14ac:dyDescent="0.15">
      <c r="A50" t="str">
        <f>'Programs to include'!A26</f>
        <v>Iron and folic acid supplementation for pregnant women (malaria area)</v>
      </c>
      <c r="B50" s="89" t="s">
        <v>254</v>
      </c>
      <c r="C50" s="23"/>
    </row>
    <row r="51" spans="1:3" x14ac:dyDescent="0.15">
      <c r="A51" t="str">
        <f>A50</f>
        <v>Iron and folic acid supplementation for pregnant women (malaria area)</v>
      </c>
      <c r="B51" s="89" t="s">
        <v>255</v>
      </c>
      <c r="C51" s="23"/>
    </row>
    <row r="52" spans="1:3" x14ac:dyDescent="0.15">
      <c r="A52" t="str">
        <f>'Programs to include'!A27</f>
        <v>Iron and iodine fortification of salt</v>
      </c>
      <c r="B52" s="89" t="s">
        <v>254</v>
      </c>
      <c r="C52" s="23"/>
    </row>
    <row r="53" spans="1:3" x14ac:dyDescent="0.15">
      <c r="A53" t="str">
        <f>A52</f>
        <v>Iron and iodine fortification of salt</v>
      </c>
      <c r="B53" s="89" t="s">
        <v>255</v>
      </c>
      <c r="C53" s="23"/>
    </row>
    <row r="54" spans="1:3" x14ac:dyDescent="0.15">
      <c r="A54" t="str">
        <f>'Programs to include'!A28</f>
        <v>Long-lasting insecticide-treated bednets</v>
      </c>
      <c r="B54" s="89" t="s">
        <v>254</v>
      </c>
      <c r="C54" s="23"/>
    </row>
    <row r="55" spans="1:3" x14ac:dyDescent="0.15">
      <c r="A55" t="str">
        <f>A54</f>
        <v>Long-lasting insecticide-treated bednets</v>
      </c>
      <c r="B55" s="89" t="s">
        <v>255</v>
      </c>
      <c r="C55" s="23"/>
    </row>
    <row r="56" spans="1:3" x14ac:dyDescent="0.15">
      <c r="A56" t="str">
        <f>'Programs to include'!A29</f>
        <v>Mg for eclampsia</v>
      </c>
      <c r="B56" s="89" t="s">
        <v>254</v>
      </c>
      <c r="C56" s="23"/>
    </row>
    <row r="57" spans="1:3" x14ac:dyDescent="0.15">
      <c r="A57" t="str">
        <f>A56</f>
        <v>Mg for eclampsia</v>
      </c>
      <c r="B57" s="89" t="s">
        <v>255</v>
      </c>
      <c r="C57" s="23"/>
    </row>
    <row r="58" spans="1:3" x14ac:dyDescent="0.15">
      <c r="A58" t="str">
        <f>'Programs to include'!A30</f>
        <v>Mg for pre-eclampsia</v>
      </c>
      <c r="B58" s="89" t="s">
        <v>254</v>
      </c>
      <c r="C58" s="23"/>
    </row>
    <row r="59" spans="1:3" x14ac:dyDescent="0.15">
      <c r="A59" t="str">
        <f>A58</f>
        <v>Mg for pre-eclampsia</v>
      </c>
      <c r="B59" s="89" t="s">
        <v>255</v>
      </c>
      <c r="C59" s="23"/>
    </row>
    <row r="60" spans="1:3" x14ac:dyDescent="0.15">
      <c r="A60" t="str">
        <f>'Programs to include'!A31</f>
        <v>Multiple micronutrient supplementation</v>
      </c>
      <c r="B60" s="89" t="s">
        <v>254</v>
      </c>
      <c r="C60" s="23"/>
    </row>
    <row r="61" spans="1:3" x14ac:dyDescent="0.15">
      <c r="A61" t="str">
        <f>A60</f>
        <v>Multiple micronutrient supplementation</v>
      </c>
      <c r="B61" s="89" t="s">
        <v>255</v>
      </c>
      <c r="C61" s="23"/>
    </row>
    <row r="62" spans="1:3" x14ac:dyDescent="0.15">
      <c r="A62" t="str">
        <f>'Programs to include'!A32</f>
        <v>Multiple micronutrient supplementation (malaria area)</v>
      </c>
      <c r="B62" s="89" t="s">
        <v>254</v>
      </c>
      <c r="C62" s="23"/>
    </row>
    <row r="63" spans="1:3" x14ac:dyDescent="0.15">
      <c r="A63" t="str">
        <f>A62</f>
        <v>Multiple micronutrient supplementation (malaria area)</v>
      </c>
      <c r="B63" s="89" t="s">
        <v>255</v>
      </c>
      <c r="C63" s="23"/>
    </row>
    <row r="64" spans="1:3" x14ac:dyDescent="0.15">
      <c r="A64" t="str">
        <f>'Programs to include'!A33</f>
        <v>Oral rehydration salts</v>
      </c>
      <c r="B64" s="89" t="s">
        <v>254</v>
      </c>
      <c r="C64" s="23"/>
    </row>
    <row r="65" spans="1:3" x14ac:dyDescent="0.15">
      <c r="A65" t="str">
        <f>A64</f>
        <v>Oral rehydration salts</v>
      </c>
      <c r="B65" s="89" t="s">
        <v>255</v>
      </c>
      <c r="C65" s="23"/>
    </row>
    <row r="66" spans="1:3" x14ac:dyDescent="0.15">
      <c r="A66" t="str">
        <f>'Programs to include'!A34</f>
        <v>Public provision of complementary foods</v>
      </c>
      <c r="B66" s="89" t="s">
        <v>254</v>
      </c>
      <c r="C66" s="23"/>
    </row>
    <row r="67" spans="1:3" x14ac:dyDescent="0.15">
      <c r="A67" t="str">
        <f>A66</f>
        <v>Public provision of complementary foods</v>
      </c>
      <c r="B67" s="89" t="s">
        <v>255</v>
      </c>
      <c r="C67" s="23"/>
    </row>
    <row r="68" spans="1:3" x14ac:dyDescent="0.15">
      <c r="A68" t="str">
        <f>'Programs to include'!A35</f>
        <v>Public provision of complementary foods with iron</v>
      </c>
      <c r="B68" s="89" t="s">
        <v>254</v>
      </c>
      <c r="C68" s="23"/>
    </row>
    <row r="69" spans="1:3" x14ac:dyDescent="0.15">
      <c r="A69" t="str">
        <f>A68</f>
        <v>Public provision of complementary foods with iron</v>
      </c>
      <c r="B69" s="89" t="s">
        <v>255</v>
      </c>
      <c r="C69" s="23"/>
    </row>
    <row r="70" spans="1:3" x14ac:dyDescent="0.15">
      <c r="A70" t="str">
        <f>'Programs to include'!A36</f>
        <v>Public provision of complementary foods with iron (malaria area)</v>
      </c>
      <c r="B70" s="89" t="s">
        <v>254</v>
      </c>
      <c r="C70" s="23"/>
    </row>
    <row r="71" spans="1:3" x14ac:dyDescent="0.15">
      <c r="A71" t="str">
        <f>A70</f>
        <v>Public provision of complementary foods with iron (malaria area)</v>
      </c>
      <c r="B71" s="89" t="s">
        <v>255</v>
      </c>
      <c r="C71" s="23"/>
    </row>
    <row r="72" spans="1:3" x14ac:dyDescent="0.15">
      <c r="A72" t="str">
        <f>'Programs to include'!A37</f>
        <v>Sprinkles</v>
      </c>
      <c r="B72" s="89" t="s">
        <v>254</v>
      </c>
      <c r="C72" s="23"/>
    </row>
    <row r="73" spans="1:3" x14ac:dyDescent="0.15">
      <c r="A73" t="str">
        <f>A72</f>
        <v>Sprinkles</v>
      </c>
      <c r="B73" s="89" t="s">
        <v>255</v>
      </c>
      <c r="C73" s="23"/>
    </row>
    <row r="74" spans="1:3" x14ac:dyDescent="0.15">
      <c r="A74" t="str">
        <f>'Programs to include'!A38</f>
        <v>Sprinkles (malaria area)</v>
      </c>
      <c r="B74" s="89" t="s">
        <v>254</v>
      </c>
      <c r="C74" s="23"/>
    </row>
    <row r="75" spans="1:3" x14ac:dyDescent="0.15">
      <c r="A75" t="str">
        <f>A74</f>
        <v>Sprinkles (malaria area)</v>
      </c>
      <c r="B75" s="89" t="s">
        <v>255</v>
      </c>
      <c r="C75" s="23"/>
    </row>
    <row r="76" spans="1:3" x14ac:dyDescent="0.15">
      <c r="A76" t="str">
        <f>'Programs to include'!A39</f>
        <v>Treatment of MAM</v>
      </c>
      <c r="B76" s="89" t="s">
        <v>254</v>
      </c>
      <c r="C76" s="23"/>
    </row>
    <row r="77" spans="1:3" x14ac:dyDescent="0.15">
      <c r="A77" t="str">
        <f>A76</f>
        <v>Treatment of MAM</v>
      </c>
      <c r="B77" s="89" t="s">
        <v>255</v>
      </c>
      <c r="C77" s="23"/>
    </row>
    <row r="78" spans="1:3" x14ac:dyDescent="0.15">
      <c r="A78" t="str">
        <f>'Programs to include'!A40</f>
        <v>Treatment of SAM</v>
      </c>
      <c r="B78" s="89" t="s">
        <v>254</v>
      </c>
      <c r="C78" s="23"/>
    </row>
    <row r="79" spans="1:3" x14ac:dyDescent="0.15">
      <c r="A79" t="str">
        <f>A78</f>
        <v>Treatment of SAM</v>
      </c>
      <c r="B79" s="89" t="s">
        <v>255</v>
      </c>
      <c r="C79" s="23"/>
    </row>
    <row r="80" spans="1:3" x14ac:dyDescent="0.15">
      <c r="A80" t="str">
        <f>'Programs to include'!A41</f>
        <v>Vitamin A supplementation</v>
      </c>
      <c r="B80" s="89" t="s">
        <v>254</v>
      </c>
      <c r="C80" s="23"/>
    </row>
    <row r="81" spans="1:3" x14ac:dyDescent="0.15">
      <c r="A81" t="str">
        <f>A80</f>
        <v>Vitamin A supplementation</v>
      </c>
      <c r="B81" s="89" t="s">
        <v>255</v>
      </c>
      <c r="C81" s="23"/>
    </row>
    <row r="82" spans="1:3" x14ac:dyDescent="0.15">
      <c r="A82" t="str">
        <f>'Programs to include'!A42</f>
        <v>WASH: Handwashing</v>
      </c>
      <c r="B82" s="89" t="s">
        <v>254</v>
      </c>
      <c r="C82" s="23"/>
    </row>
    <row r="83" spans="1:3" x14ac:dyDescent="0.15">
      <c r="A83" t="str">
        <f>A82</f>
        <v>WASH: Handwashing</v>
      </c>
      <c r="B83" s="89" t="s">
        <v>255</v>
      </c>
      <c r="C83" s="23"/>
    </row>
    <row r="84" spans="1:3" x14ac:dyDescent="0.15">
      <c r="A84" t="str">
        <f>'Programs to include'!A43</f>
        <v>WASH: Hygenic disposal</v>
      </c>
      <c r="B84" s="89" t="s">
        <v>254</v>
      </c>
      <c r="C84" s="23"/>
    </row>
    <row r="85" spans="1:3" x14ac:dyDescent="0.15">
      <c r="A85" t="str">
        <f>A84</f>
        <v>WASH: Hygenic disposal</v>
      </c>
      <c r="B85" s="89" t="s">
        <v>255</v>
      </c>
      <c r="C85" s="23"/>
    </row>
    <row r="86" spans="1:3" x14ac:dyDescent="0.15">
      <c r="A86" t="str">
        <f>'Programs to include'!A44</f>
        <v>WASH: Improved sanitation</v>
      </c>
      <c r="B86" s="89" t="s">
        <v>254</v>
      </c>
      <c r="C86" s="23"/>
    </row>
    <row r="87" spans="1:3" x14ac:dyDescent="0.15">
      <c r="A87" t="str">
        <f>A86</f>
        <v>WASH: Improved sanitation</v>
      </c>
      <c r="B87" s="89" t="s">
        <v>255</v>
      </c>
      <c r="C87" s="23"/>
    </row>
    <row r="88" spans="1:3" x14ac:dyDescent="0.15">
      <c r="A88" t="str">
        <f>'Programs to include'!A45</f>
        <v>WASH: Improved water source</v>
      </c>
      <c r="B88" s="89" t="s">
        <v>254</v>
      </c>
      <c r="C88" s="23"/>
    </row>
    <row r="89" spans="1:3" x14ac:dyDescent="0.15">
      <c r="A89" t="str">
        <f>A88</f>
        <v>WASH: Improved water source</v>
      </c>
      <c r="B89" s="89" t="s">
        <v>255</v>
      </c>
      <c r="C89" s="23"/>
    </row>
    <row r="90" spans="1:3" x14ac:dyDescent="0.15">
      <c r="A90" t="str">
        <f>'Programs to include'!A46</f>
        <v>WASH: Piped water</v>
      </c>
      <c r="B90" s="89" t="s">
        <v>254</v>
      </c>
      <c r="C90" s="23"/>
    </row>
    <row r="91" spans="1:3" x14ac:dyDescent="0.15">
      <c r="A91" t="str">
        <f>A90</f>
        <v>WASH: Piped water</v>
      </c>
      <c r="B91" s="89" t="s">
        <v>255</v>
      </c>
      <c r="C91" s="23"/>
    </row>
    <row r="92" spans="1:3" x14ac:dyDescent="0.15">
      <c r="A92" t="str">
        <f>'Programs to include'!A47</f>
        <v>Zinc for treatment + ORS</v>
      </c>
      <c r="B92" s="89" t="s">
        <v>254</v>
      </c>
      <c r="C92" s="23"/>
    </row>
    <row r="93" spans="1:3" x14ac:dyDescent="0.15">
      <c r="A93" t="str">
        <f>A92</f>
        <v>Zinc for treatment + ORS</v>
      </c>
      <c r="B93" s="89" t="s">
        <v>255</v>
      </c>
      <c r="C93" s="23"/>
    </row>
    <row r="94" spans="1:3" x14ac:dyDescent="0.15">
      <c r="A94" t="str">
        <f>'Programs to include'!A48</f>
        <v>Zinc supplementation</v>
      </c>
      <c r="B94" s="89" t="s">
        <v>254</v>
      </c>
      <c r="C94" s="23"/>
    </row>
    <row r="95" spans="1:3" x14ac:dyDescent="0.15">
      <c r="A95" t="str">
        <f>A94</f>
        <v>Zinc supplementation</v>
      </c>
      <c r="B95" s="89" t="s">
        <v>255</v>
      </c>
      <c r="C95" s="23"/>
    </row>
    <row r="96" spans="1:3" x14ac:dyDescent="0.15">
      <c r="A96" t="str">
        <f>'Programs to include'!A49</f>
        <v>IYCF 1</v>
      </c>
      <c r="B96" s="89" t="s">
        <v>254</v>
      </c>
      <c r="C96" s="23"/>
    </row>
    <row r="97" spans="1:3" x14ac:dyDescent="0.15">
      <c r="A97" t="str">
        <f>A96</f>
        <v>IYCF 1</v>
      </c>
      <c r="B97" s="89" t="s">
        <v>255</v>
      </c>
      <c r="C97" s="23"/>
    </row>
    <row r="98" spans="1:3" x14ac:dyDescent="0.15">
      <c r="A98" t="str">
        <f>'Programs to include'!A50</f>
        <v>IYCF 2</v>
      </c>
      <c r="B98" s="89" t="s">
        <v>254</v>
      </c>
      <c r="C98" s="23"/>
    </row>
    <row r="99" spans="1:3" x14ac:dyDescent="0.15">
      <c r="A99" t="str">
        <f>A98</f>
        <v>IYCF 2</v>
      </c>
      <c r="B99" s="89" t="s">
        <v>255</v>
      </c>
      <c r="C99" s="23"/>
    </row>
    <row r="100" spans="1:3" x14ac:dyDescent="0.15">
      <c r="A100" t="str">
        <f>'Programs to include'!A51</f>
        <v>IYCF 3</v>
      </c>
      <c r="B100" s="89" t="s">
        <v>254</v>
      </c>
      <c r="C100" s="23"/>
    </row>
    <row r="101" spans="1:3" x14ac:dyDescent="0.15">
      <c r="A101" t="str">
        <f>A100</f>
        <v>IYCF 3</v>
      </c>
      <c r="B101" s="89" t="s">
        <v>255</v>
      </c>
      <c r="C101" s="23"/>
    </row>
    <row r="102" spans="1:3" x14ac:dyDescent="0.15">
      <c r="A102" s="155" t="s">
        <v>274</v>
      </c>
      <c r="B102" s="155" t="s">
        <v>254</v>
      </c>
      <c r="C102" s="158"/>
    </row>
    <row r="103" spans="1:3" x14ac:dyDescent="0.15">
      <c r="A103" s="155" t="s">
        <v>274</v>
      </c>
      <c r="B103" s="155" t="s">
        <v>255</v>
      </c>
      <c r="C103" s="158"/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9"/>
  <sheetViews>
    <sheetView workbookViewId="0">
      <selection activeCell="A5" sqref="A5"/>
    </sheetView>
  </sheetViews>
  <sheetFormatPr baseColWidth="10" defaultColWidth="11.5" defaultRowHeight="13" x14ac:dyDescent="0.15"/>
  <cols>
    <col min="1" max="1" width="53" bestFit="1" customWidth="1"/>
    <col min="2" max="2" width="16.1640625" bestFit="1" customWidth="1"/>
  </cols>
  <sheetData>
    <row r="1" spans="1:2" x14ac:dyDescent="0.15">
      <c r="A1" s="10" t="s">
        <v>237</v>
      </c>
      <c r="B1" s="10"/>
    </row>
    <row r="2" spans="1:2" x14ac:dyDescent="0.15">
      <c r="A2" t="s">
        <v>181</v>
      </c>
    </row>
    <row r="3" spans="1:2" x14ac:dyDescent="0.15">
      <c r="A3" t="s">
        <v>115</v>
      </c>
    </row>
    <row r="4" spans="1:2" x14ac:dyDescent="0.15">
      <c r="A4" s="4" t="s">
        <v>77</v>
      </c>
    </row>
    <row r="5" spans="1:2" x14ac:dyDescent="0.15">
      <c r="A5" t="s">
        <v>208</v>
      </c>
    </row>
    <row r="6" spans="1:2" x14ac:dyDescent="0.15">
      <c r="A6" t="s">
        <v>207</v>
      </c>
    </row>
    <row r="7" spans="1:2" x14ac:dyDescent="0.15">
      <c r="A7" t="s">
        <v>206</v>
      </c>
    </row>
    <row r="8" spans="1:2" x14ac:dyDescent="0.15">
      <c r="A8" t="s">
        <v>204</v>
      </c>
    </row>
    <row r="9" spans="1:2" x14ac:dyDescent="0.15">
      <c r="A9" t="s">
        <v>205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52"/>
  <sheetViews>
    <sheetView topLeftCell="A15" workbookViewId="0">
      <selection activeCell="A52" sqref="A52:B52"/>
    </sheetView>
  </sheetViews>
  <sheetFormatPr baseColWidth="10" defaultColWidth="11.5" defaultRowHeight="13" x14ac:dyDescent="0.15"/>
  <cols>
    <col min="1" max="1" width="56" customWidth="1"/>
    <col min="2" max="2" width="15.83203125" bestFit="1" customWidth="1"/>
  </cols>
  <sheetData>
    <row r="1" spans="1:2" x14ac:dyDescent="0.15">
      <c r="A1" s="1" t="s">
        <v>237</v>
      </c>
      <c r="B1" s="10" t="s">
        <v>256</v>
      </c>
    </row>
    <row r="2" spans="1:2" x14ac:dyDescent="0.15">
      <c r="A2" t="s">
        <v>54</v>
      </c>
      <c r="B2" s="89"/>
    </row>
    <row r="3" spans="1:2" x14ac:dyDescent="0.15">
      <c r="A3" s="128" t="s">
        <v>240</v>
      </c>
      <c r="B3" s="89"/>
    </row>
    <row r="4" spans="1:2" x14ac:dyDescent="0.15">
      <c r="A4" s="4" t="s">
        <v>210</v>
      </c>
      <c r="B4" s="89"/>
    </row>
    <row r="5" spans="1:2" x14ac:dyDescent="0.15">
      <c r="A5" s="4" t="s">
        <v>139</v>
      </c>
      <c r="B5" s="89" t="s">
        <v>161</v>
      </c>
    </row>
    <row r="6" spans="1:2" x14ac:dyDescent="0.15">
      <c r="A6" t="s">
        <v>181</v>
      </c>
      <c r="B6" s="89"/>
    </row>
    <row r="7" spans="1:2" x14ac:dyDescent="0.15">
      <c r="A7" s="12" t="s">
        <v>141</v>
      </c>
      <c r="B7" s="89" t="s">
        <v>161</v>
      </c>
    </row>
    <row r="8" spans="1:2" x14ac:dyDescent="0.15">
      <c r="A8" s="12" t="s">
        <v>142</v>
      </c>
      <c r="B8" s="89"/>
    </row>
    <row r="9" spans="1:2" x14ac:dyDescent="0.15">
      <c r="A9" s="12" t="s">
        <v>140</v>
      </c>
      <c r="B9" s="89"/>
    </row>
    <row r="10" spans="1:2" x14ac:dyDescent="0.15">
      <c r="A10" t="s">
        <v>120</v>
      </c>
      <c r="B10" s="89"/>
    </row>
    <row r="11" spans="1:2" x14ac:dyDescent="0.15">
      <c r="A11" t="s">
        <v>128</v>
      </c>
      <c r="B11" s="89"/>
    </row>
    <row r="12" spans="1:2" x14ac:dyDescent="0.15">
      <c r="A12" t="s">
        <v>121</v>
      </c>
      <c r="B12" s="89"/>
    </row>
    <row r="13" spans="1:2" x14ac:dyDescent="0.15">
      <c r="A13" t="s">
        <v>129</v>
      </c>
      <c r="B13" s="89"/>
    </row>
    <row r="14" spans="1:2" x14ac:dyDescent="0.15">
      <c r="A14" t="s">
        <v>122</v>
      </c>
      <c r="B14" s="89"/>
    </row>
    <row r="15" spans="1:2" x14ac:dyDescent="0.15">
      <c r="A15" t="s">
        <v>130</v>
      </c>
      <c r="B15" s="89"/>
    </row>
    <row r="16" spans="1:2" x14ac:dyDescent="0.15">
      <c r="A16" t="s">
        <v>119</v>
      </c>
      <c r="B16" s="89"/>
    </row>
    <row r="17" spans="1:2" x14ac:dyDescent="0.15">
      <c r="A17" t="s">
        <v>127</v>
      </c>
      <c r="B17" s="89"/>
    </row>
    <row r="18" spans="1:2" x14ac:dyDescent="0.15">
      <c r="A18" t="s">
        <v>117</v>
      </c>
      <c r="B18" s="89"/>
    </row>
    <row r="19" spans="1:2" x14ac:dyDescent="0.15">
      <c r="A19" t="s">
        <v>125</v>
      </c>
      <c r="B19" s="89"/>
    </row>
    <row r="20" spans="1:2" x14ac:dyDescent="0.15">
      <c r="A20" t="s">
        <v>118</v>
      </c>
      <c r="B20" s="89"/>
    </row>
    <row r="21" spans="1:2" x14ac:dyDescent="0.15">
      <c r="A21" t="s">
        <v>126</v>
      </c>
      <c r="B21" s="89"/>
    </row>
    <row r="22" spans="1:2" x14ac:dyDescent="0.15">
      <c r="A22" t="s">
        <v>116</v>
      </c>
      <c r="B22" s="89"/>
    </row>
    <row r="23" spans="1:2" x14ac:dyDescent="0.15">
      <c r="A23" t="s">
        <v>124</v>
      </c>
      <c r="B23" s="89"/>
    </row>
    <row r="24" spans="1:2" x14ac:dyDescent="0.15">
      <c r="A24" t="s">
        <v>115</v>
      </c>
      <c r="B24" s="89" t="s">
        <v>161</v>
      </c>
    </row>
    <row r="25" spans="1:2" x14ac:dyDescent="0.15">
      <c r="A25" s="4" t="s">
        <v>76</v>
      </c>
      <c r="B25" s="89"/>
    </row>
    <row r="26" spans="1:2" x14ac:dyDescent="0.15">
      <c r="A26" s="4" t="s">
        <v>135</v>
      </c>
      <c r="B26" s="89" t="s">
        <v>161</v>
      </c>
    </row>
    <row r="27" spans="1:2" x14ac:dyDescent="0.15">
      <c r="A27" s="4" t="s">
        <v>93</v>
      </c>
      <c r="B27" s="89"/>
    </row>
    <row r="28" spans="1:2" x14ac:dyDescent="0.15">
      <c r="A28" s="4" t="s">
        <v>77</v>
      </c>
      <c r="B28" s="89"/>
    </row>
    <row r="29" spans="1:2" x14ac:dyDescent="0.15">
      <c r="A29" s="4" t="s">
        <v>212</v>
      </c>
      <c r="B29" s="89"/>
    </row>
    <row r="30" spans="1:2" x14ac:dyDescent="0.15">
      <c r="A30" s="4" t="s">
        <v>211</v>
      </c>
      <c r="B30" s="89"/>
    </row>
    <row r="31" spans="1:2" x14ac:dyDescent="0.15">
      <c r="A31" t="s">
        <v>131</v>
      </c>
    </row>
    <row r="32" spans="1:2" x14ac:dyDescent="0.15">
      <c r="A32" t="s">
        <v>134</v>
      </c>
      <c r="B32" s="89"/>
    </row>
    <row r="33" spans="1:2" x14ac:dyDescent="0.15">
      <c r="A33" t="s">
        <v>209</v>
      </c>
      <c r="B33" s="89"/>
    </row>
    <row r="34" spans="1:2" x14ac:dyDescent="0.15">
      <c r="A34" s="4" t="s">
        <v>123</v>
      </c>
      <c r="B34" s="89"/>
    </row>
    <row r="35" spans="1:2" x14ac:dyDescent="0.15">
      <c r="A35" s="4" t="s">
        <v>74</v>
      </c>
    </row>
    <row r="36" spans="1:2" x14ac:dyDescent="0.15">
      <c r="A36" s="4" t="s">
        <v>132</v>
      </c>
      <c r="B36" s="89"/>
    </row>
    <row r="37" spans="1:2" x14ac:dyDescent="0.15">
      <c r="A37" s="4" t="s">
        <v>73</v>
      </c>
    </row>
    <row r="38" spans="1:2" x14ac:dyDescent="0.15">
      <c r="A38" s="18" t="s">
        <v>133</v>
      </c>
      <c r="B38" s="89" t="s">
        <v>161</v>
      </c>
    </row>
    <row r="39" spans="1:2" x14ac:dyDescent="0.15">
      <c r="A39" s="4" t="s">
        <v>147</v>
      </c>
      <c r="B39" s="89"/>
    </row>
    <row r="40" spans="1:2" x14ac:dyDescent="0.15">
      <c r="A40" s="4" t="s">
        <v>148</v>
      </c>
      <c r="B40" s="89" t="s">
        <v>161</v>
      </c>
    </row>
    <row r="41" spans="1:2" x14ac:dyDescent="0.15">
      <c r="A41" s="4" t="s">
        <v>47</v>
      </c>
      <c r="B41" s="89" t="s">
        <v>161</v>
      </c>
    </row>
    <row r="42" spans="1:2" x14ac:dyDescent="0.15">
      <c r="A42" t="s">
        <v>208</v>
      </c>
      <c r="B42" s="89"/>
    </row>
    <row r="43" spans="1:2" x14ac:dyDescent="0.15">
      <c r="A43" t="s">
        <v>207</v>
      </c>
      <c r="B43" s="89"/>
    </row>
    <row r="44" spans="1:2" x14ac:dyDescent="0.15">
      <c r="A44" t="s">
        <v>206</v>
      </c>
      <c r="B44" s="89"/>
    </row>
    <row r="45" spans="1:2" x14ac:dyDescent="0.15">
      <c r="A45" t="s">
        <v>204</v>
      </c>
      <c r="B45" s="89"/>
    </row>
    <row r="46" spans="1:2" x14ac:dyDescent="0.15">
      <c r="A46" t="s">
        <v>205</v>
      </c>
      <c r="B46" s="89"/>
    </row>
    <row r="47" spans="1:2" x14ac:dyDescent="0.15">
      <c r="A47" t="s">
        <v>213</v>
      </c>
      <c r="B47" s="89" t="s">
        <v>161</v>
      </c>
    </row>
    <row r="48" spans="1:2" x14ac:dyDescent="0.15">
      <c r="A48" s="4" t="s">
        <v>136</v>
      </c>
      <c r="B48" s="89"/>
    </row>
    <row r="49" spans="1:2" x14ac:dyDescent="0.15">
      <c r="A49" s="11" t="s">
        <v>157</v>
      </c>
      <c r="B49" s="89" t="s">
        <v>161</v>
      </c>
    </row>
    <row r="50" spans="1:2" x14ac:dyDescent="0.15">
      <c r="A50" s="11" t="s">
        <v>158</v>
      </c>
    </row>
    <row r="51" spans="1:2" x14ac:dyDescent="0.15">
      <c r="A51" s="11" t="s">
        <v>159</v>
      </c>
    </row>
    <row r="52" spans="1:2" x14ac:dyDescent="0.15">
      <c r="A52" s="155" t="s">
        <v>274</v>
      </c>
      <c r="B52" s="1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Expenditure &amp; budget</vt:lpstr>
      <vt:lpstr>Baseline year demographics</vt:lpstr>
      <vt:lpstr>Demographic projections</vt:lpstr>
      <vt:lpstr>Annual prevalence</vt:lpstr>
      <vt:lpstr>Causes of death</vt:lpstr>
      <vt:lpstr>Distributions</vt:lpstr>
      <vt:lpstr>Incidence of conditions</vt:lpstr>
      <vt:lpstr>Prevalence of anaemia</vt:lpstr>
      <vt:lpstr>Distribution births</vt:lpstr>
      <vt:lpstr>Birth outcomes &amp; risks</vt:lpstr>
      <vt:lpstr>Relative risks</vt:lpstr>
      <vt:lpstr>Odds ratios</vt:lpstr>
      <vt:lpstr>IYCF package odds ratios</vt:lpstr>
      <vt:lpstr>IYCF packages</vt:lpstr>
      <vt:lpstr>IYCF cost &amp; coverage</vt:lpstr>
      <vt:lpstr>Appropriate breastfeeding</vt:lpstr>
      <vt:lpstr>Programs birth outcomes</vt:lpstr>
      <vt:lpstr>Programs anaemia</vt:lpstr>
      <vt:lpstr>Programs wasting</vt:lpstr>
      <vt:lpstr>Programs for children</vt:lpstr>
      <vt:lpstr>Programs family planning</vt:lpstr>
      <vt:lpstr>Programs for PW</vt:lpstr>
      <vt:lpstr>Programs birth age</vt:lpstr>
      <vt:lpstr>Programs target population</vt:lpstr>
      <vt:lpstr>Programs impacted population</vt:lpstr>
      <vt:lpstr>Program dependencies</vt:lpstr>
      <vt:lpstr>Program risk areas</vt:lpstr>
      <vt:lpstr>Population risk areas</vt:lpstr>
      <vt:lpstr>Programs cost and coverage</vt:lpstr>
      <vt:lpstr>Programs annual spending</vt:lpstr>
      <vt:lpstr>Reference programs</vt:lpstr>
      <vt:lpstr>Programs to include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2017-08-01T10:42:13Z</dcterms:created>
  <dcterms:modified xsi:type="dcterms:W3CDTF">2018-03-30T04:00:24Z</dcterms:modified>
</cp:coreProperties>
</file>