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96C9F93-068E-42FF-B696-199389E28C8D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<sst xmlns="http://schemas.openxmlformats.org/spreadsheetml/2006/main" count="2093" uniqueCount="337">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</sst>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1842270.890625</v>
      </c>
    </row>
    <row r="8" spans="1:3" ht="15" customHeight="1" x14ac:dyDescent="0.25">
      <c r="B8" s="69" t="s">
        <v>8</v>
      </c>
      <c r="C8" s="32">
        <v>0.14199999999999999</v>
      </c>
    </row>
    <row r="9" spans="1:3" ht="15" customHeight="1" x14ac:dyDescent="0.25">
      <c r="B9" s="69" t="s">
        <v>9</v>
      </c>
      <c r="C9" s="33">
        <v>0.17799999999999999</v>
      </c>
    </row>
    <row r="10" spans="1:3" ht="15" customHeight="1" x14ac:dyDescent="0.25">
      <c r="B10" s="69" t="s">
        <v>10</v>
      </c>
      <c r="C10" s="33">
        <v>0.81408699039999999</v>
      </c>
    </row>
    <row r="11" spans="1:3" ht="15" customHeight="1" x14ac:dyDescent="0.25">
      <c r="B11" s="69" t="s">
        <v>11</v>
      </c>
      <c r="C11" s="32">
        <v>0.75599999999999989</v>
      </c>
    </row>
    <row r="12" spans="1:3" ht="15" customHeight="1" x14ac:dyDescent="0.25">
      <c r="B12" s="69" t="s">
        <v>12</v>
      </c>
      <c r="C12" s="32">
        <v>0.68799999999999994</v>
      </c>
    </row>
    <row r="13" spans="1:3" ht="15" customHeight="1" x14ac:dyDescent="0.25">
      <c r="B13" s="69" t="s">
        <v>13</v>
      </c>
      <c r="C13" s="32">
        <v>0.436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0.1135</v>
      </c>
    </row>
    <row r="24" spans="1:3" ht="15" customHeight="1" x14ac:dyDescent="0.25">
      <c r="B24" s="7" t="s">
        <v>22</v>
      </c>
      <c r="C24" s="33">
        <v>0.59699999999999998</v>
      </c>
    </row>
    <row r="25" spans="1:3" ht="15" customHeight="1" x14ac:dyDescent="0.25">
      <c r="B25" s="7" t="s">
        <v>23</v>
      </c>
      <c r="C25" s="33">
        <v>0.25979999999999998</v>
      </c>
    </row>
    <row r="26" spans="1:3" ht="15" customHeight="1" x14ac:dyDescent="0.25">
      <c r="B26" s="7" t="s">
        <v>24</v>
      </c>
      <c r="C26" s="33">
        <v>2.9700000000000001E-2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0.38913864529221698</v>
      </c>
    </row>
    <row r="30" spans="1:3" ht="14.25" customHeight="1" x14ac:dyDescent="0.25">
      <c r="B30" s="15" t="s">
        <v>27</v>
      </c>
      <c r="C30" s="42">
        <v>3.1744721789365098E-2</v>
      </c>
    </row>
    <row r="31" spans="1:3" ht="14.25" customHeight="1" x14ac:dyDescent="0.25">
      <c r="B31" s="15" t="s">
        <v>28</v>
      </c>
      <c r="C31" s="42">
        <v>4.94640797290107E-2</v>
      </c>
    </row>
    <row r="32" spans="1:3" ht="14.25" customHeight="1" x14ac:dyDescent="0.25">
      <c r="B32" s="15" t="s">
        <v>29</v>
      </c>
      <c r="C32" s="42">
        <v>0.52965255318940696</v>
      </c>
    </row>
    <row r="33" spans="1:5" ht="13.2" customHeight="1" x14ac:dyDescent="0.25">
      <c r="B33" s="16" t="s">
        <v>30</v>
      </c>
      <c r="C33" s="98">
        <f>SUM(C29:C32)</f>
        <v>0.99999999999999978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14.490743071716301</v>
      </c>
    </row>
    <row r="38" spans="1:5" ht="15" customHeight="1" x14ac:dyDescent="0.25">
      <c r="B38" s="65" t="s">
        <v>34</v>
      </c>
      <c r="C38" s="94">
        <v>22.8336007086824</v>
      </c>
      <c r="D38" s="5"/>
      <c r="E38" s="6"/>
    </row>
    <row r="39" spans="1:5" ht="15" customHeight="1" x14ac:dyDescent="0.25">
      <c r="B39" s="65" t="s">
        <v>35</v>
      </c>
      <c r="C39" s="94">
        <v>26.590383208930799</v>
      </c>
      <c r="D39" s="5"/>
      <c r="E39" s="5"/>
    </row>
    <row r="40" spans="1:5" ht="15" customHeight="1" x14ac:dyDescent="0.25">
      <c r="B40" s="65" t="s">
        <v>36</v>
      </c>
      <c r="C40" s="94">
        <v>1.6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12.448621490000001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2.3543399999999999E-2</v>
      </c>
      <c r="D45" s="5"/>
    </row>
    <row r="46" spans="1:5" ht="15.75" customHeight="1" x14ac:dyDescent="0.25">
      <c r="B46" s="65" t="s">
        <v>41</v>
      </c>
      <c r="C46" s="33">
        <v>8.1953099999999987E-2</v>
      </c>
      <c r="D46" s="5"/>
    </row>
    <row r="47" spans="1:5" ht="15.75" customHeight="1" x14ac:dyDescent="0.25">
      <c r="B47" s="65" t="s">
        <v>42</v>
      </c>
      <c r="C47" s="33">
        <v>0.1638376</v>
      </c>
      <c r="D47" s="5"/>
      <c r="E47" s="6"/>
    </row>
    <row r="48" spans="1:5" ht="15" customHeight="1" x14ac:dyDescent="0.25">
      <c r="B48" s="65" t="s">
        <v>43</v>
      </c>
      <c r="C48" s="97">
        <v>0.73066590000000009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0.47050399999999998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0.12122239999999999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0.58700462107792495</v>
      </c>
      <c r="C2" s="43">
        <v>0.95</v>
      </c>
      <c r="D2" s="86">
        <v>39.696912528269593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42.56131478053868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126.9907238189386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0.60121428364803742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0.18189922202611</v>
      </c>
      <c r="C10" s="43">
        <v>0.95</v>
      </c>
      <c r="D10" s="86">
        <v>13.57902668055927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0.18189922202611</v>
      </c>
      <c r="C11" s="43">
        <v>0.95</v>
      </c>
      <c r="D11" s="86">
        <v>13.57902668055927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0.18189922202611</v>
      </c>
      <c r="C12" s="43">
        <v>0.95</v>
      </c>
      <c r="D12" s="86">
        <v>13.57902668055927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0.18189922202611</v>
      </c>
      <c r="C13" s="43">
        <v>0.95</v>
      </c>
      <c r="D13" s="86">
        <v>13.57902668055927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0.18189922202611</v>
      </c>
      <c r="C14" s="43">
        <v>0.95</v>
      </c>
      <c r="D14" s="86">
        <v>13.57902668055927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0.18189922202611</v>
      </c>
      <c r="C15" s="43">
        <v>0.95</v>
      </c>
      <c r="D15" s="86">
        <v>13.57902668055927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0.31826941840934792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4.1250299999999997E-2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0.73</v>
      </c>
      <c r="C18" s="43">
        <v>0.95</v>
      </c>
      <c r="D18" s="86">
        <v>3.014096374602512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3.014096374602512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0.83232830000000002</v>
      </c>
      <c r="C21" s="43">
        <v>0.95</v>
      </c>
      <c r="D21" s="86">
        <v>5.9848115273531732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23.193313917820198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4.4856136591440912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0.21039511534569999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0.14187003123754299</v>
      </c>
      <c r="C27" s="43">
        <v>0.95</v>
      </c>
      <c r="D27" s="86">
        <v>19.58054575546414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0.59226965979775503</v>
      </c>
      <c r="C29" s="43">
        <v>0.95</v>
      </c>
      <c r="D29" s="86">
        <v>71.806854509052982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3.2115414876650559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0.16600000000000001</v>
      </c>
      <c r="C32" s="43">
        <v>0.95</v>
      </c>
      <c r="D32" s="86">
        <v>0.63634500895123969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0.22613632678985601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4.5057489999999999E-2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3.6117709663371329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0.261278816724207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0.2005583137273789</v>
      </c>
      <c r="C3" s="13">
        <f>frac_mam_1_5months * 2.6</f>
        <v>0.2005583137273789</v>
      </c>
      <c r="D3" s="13">
        <f>frac_mam_6_11months * 2.6</f>
        <v>0.20224882662296284</v>
      </c>
      <c r="E3" s="13">
        <f>frac_mam_12_23months * 2.6</f>
        <v>0.20557026565074926</v>
      </c>
      <c r="F3" s="13">
        <f>frac_mam_24_59months * 2.6</f>
        <v>0.18171818405389795</v>
      </c>
    </row>
    <row r="4" spans="1:6" ht="15.75" customHeight="1" x14ac:dyDescent="0.25">
      <c r="A4" s="78" t="s">
        <v>204</v>
      </c>
      <c r="B4" s="13">
        <f>frac_sam_1month * 2.6</f>
        <v>0.14292396605014818</v>
      </c>
      <c r="C4" s="13">
        <f>frac_sam_1_5months * 2.6</f>
        <v>0.14292396605014818</v>
      </c>
      <c r="D4" s="13">
        <f>frac_sam_6_11months * 2.6</f>
        <v>8.0035730823874537E-2</v>
      </c>
      <c r="E4" s="13">
        <f>frac_sam_12_23months * 2.6</f>
        <v>8.0878827348351501E-2</v>
      </c>
      <c r="F4" s="13">
        <f>frac_sam_24_59months * 2.6</f>
        <v>4.539911821484572E-2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0.14199999999999999</v>
      </c>
      <c r="E2" s="47">
        <f>food_insecure</f>
        <v>0.14199999999999999</v>
      </c>
      <c r="F2" s="47">
        <f>food_insecure</f>
        <v>0.14199999999999999</v>
      </c>
      <c r="G2" s="47">
        <f>food_insecure</f>
        <v>0.14199999999999999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0.14199999999999999</v>
      </c>
      <c r="F5" s="47">
        <f>food_insecure</f>
        <v>0.14199999999999999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0.14199999999999999</v>
      </c>
      <c r="F8" s="47">
        <f>food_insecure</f>
        <v>0.14199999999999999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0.14199999999999999</v>
      </c>
      <c r="F9" s="47">
        <f>food_insecure</f>
        <v>0.14199999999999999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0.68799999999999994</v>
      </c>
      <c r="E10" s="47">
        <f>IF(ISBLANK(comm_deliv), frac_children_health_facility,1)</f>
        <v>0.68799999999999994</v>
      </c>
      <c r="F10" s="47">
        <f>IF(ISBLANK(comm_deliv), frac_children_health_facility,1)</f>
        <v>0.68799999999999994</v>
      </c>
      <c r="G10" s="47">
        <f>IF(ISBLANK(comm_deliv), frac_children_health_facility,1)</f>
        <v>0.68799999999999994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0.14199999999999999</v>
      </c>
      <c r="I15" s="47">
        <f>food_insecure</f>
        <v>0.14199999999999999</v>
      </c>
      <c r="J15" s="47">
        <f>food_insecure</f>
        <v>0.14199999999999999</v>
      </c>
      <c r="K15" s="47">
        <f>food_insecure</f>
        <v>0.14199999999999999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0.75599999999999989</v>
      </c>
      <c r="I18" s="47">
        <f>frac_PW_health_facility</f>
        <v>0.75599999999999989</v>
      </c>
      <c r="J18" s="47">
        <f>frac_PW_health_facility</f>
        <v>0.75599999999999989</v>
      </c>
      <c r="K18" s="47">
        <f>frac_PW_health_facility</f>
        <v>0.75599999999999989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0.17799999999999999</v>
      </c>
      <c r="I19" s="47">
        <f>frac_malaria_risk</f>
        <v>0.17799999999999999</v>
      </c>
      <c r="J19" s="47">
        <f>frac_malaria_risk</f>
        <v>0.17799999999999999</v>
      </c>
      <c r="K19" s="47">
        <f>frac_malaria_risk</f>
        <v>0.17799999999999999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0.436</v>
      </c>
      <c r="M24" s="47">
        <f>famplan_unmet_need</f>
        <v>0.436</v>
      </c>
      <c r="N24" s="47">
        <f>famplan_unmet_need</f>
        <v>0.436</v>
      </c>
      <c r="O24" s="47">
        <f>famplan_unmet_need</f>
        <v>0.436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9.6641300650271988E-2</v>
      </c>
      <c r="M25" s="47">
        <f>(1-food_insecure)*(0.49)+food_insecure*(0.7)</f>
        <v>0.51981999999999995</v>
      </c>
      <c r="N25" s="47">
        <f>(1-food_insecure)*(0.49)+food_insecure*(0.7)</f>
        <v>0.51981999999999995</v>
      </c>
      <c r="O25" s="47">
        <f>(1-food_insecure)*(0.49)+food_insecure*(0.7)</f>
        <v>0.51981999999999995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4.1417700278687998E-2</v>
      </c>
      <c r="M26" s="47">
        <f>(1-food_insecure)*(0.21)+food_insecure*(0.3)</f>
        <v>0.22277999999999998</v>
      </c>
      <c r="N26" s="47">
        <f>(1-food_insecure)*(0.21)+food_insecure*(0.3)</f>
        <v>0.22277999999999998</v>
      </c>
      <c r="O26" s="47">
        <f>(1-food_insecure)*(0.21)+food_insecure*(0.3)</f>
        <v>0.22277999999999998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4.7854008671039998E-2</v>
      </c>
      <c r="M27" s="47">
        <f>(1-food_insecure)*(0.3)</f>
        <v>0.25739999999999996</v>
      </c>
      <c r="N27" s="47">
        <f>(1-food_insecure)*(0.3)</f>
        <v>0.25739999999999996</v>
      </c>
      <c r="O27" s="47">
        <f>(1-food_insecure)*(0.3)</f>
        <v>0.25739999999999996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0.81408699039999999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0.17799999999999999</v>
      </c>
      <c r="D34" s="47">
        <f t="shared" si="3"/>
        <v>0.17799999999999999</v>
      </c>
      <c r="E34" s="47">
        <f t="shared" si="3"/>
        <v>0.17799999999999999</v>
      </c>
      <c r="F34" s="47">
        <f t="shared" si="3"/>
        <v>0.17799999999999999</v>
      </c>
      <c r="G34" s="47">
        <f t="shared" si="3"/>
        <v>0.17799999999999999</v>
      </c>
      <c r="H34" s="47">
        <f t="shared" si="3"/>
        <v>0.17799999999999999</v>
      </c>
      <c r="I34" s="47">
        <f t="shared" si="3"/>
        <v>0.17799999999999999</v>
      </c>
      <c r="J34" s="47">
        <f t="shared" si="3"/>
        <v>0.17799999999999999</v>
      </c>
      <c r="K34" s="47">
        <f t="shared" si="3"/>
        <v>0.17799999999999999</v>
      </c>
      <c r="L34" s="47">
        <f t="shared" si="3"/>
        <v>0.17799999999999999</v>
      </c>
      <c r="M34" s="47">
        <f t="shared" si="3"/>
        <v>0.17799999999999999</v>
      </c>
      <c r="N34" s="47">
        <f t="shared" si="3"/>
        <v>0.17799999999999999</v>
      </c>
      <c r="O34" s="47">
        <f t="shared" si="3"/>
        <v>0.17799999999999999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356793.19679999998</v>
      </c>
      <c r="C2" s="37">
        <v>732000</v>
      </c>
      <c r="D2" s="37">
        <v>1531000</v>
      </c>
      <c r="E2" s="37">
        <v>1493000</v>
      </c>
      <c r="F2" s="37">
        <v>804000</v>
      </c>
      <c r="G2" s="9">
        <f t="shared" ref="G2:G40" si="0">C2+D2+E2+F2</f>
        <v>4560000</v>
      </c>
      <c r="H2" s="9">
        <f t="shared" ref="H2:H40" si="1">(B2 + stillbirth*B2/(1000-stillbirth))/(1-abortion)</f>
        <v>410557.69185111712</v>
      </c>
      <c r="I2" s="9">
        <f t="shared" ref="I2:I40" si="2">G2-H2</f>
        <v>4149442.3081488828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353732.90180000011</v>
      </c>
      <c r="C3" s="37">
        <v>744000</v>
      </c>
      <c r="D3" s="37">
        <v>1515000</v>
      </c>
      <c r="E3" s="37">
        <v>1471000</v>
      </c>
      <c r="F3" s="37">
        <v>882000</v>
      </c>
      <c r="G3" s="9">
        <f t="shared" si="0"/>
        <v>4612000</v>
      </c>
      <c r="H3" s="9">
        <f t="shared" si="1"/>
        <v>407036.24675952882</v>
      </c>
      <c r="I3" s="9">
        <f t="shared" si="2"/>
        <v>4204963.7532404708</v>
      </c>
    </row>
    <row r="4" spans="1:9" ht="15.75" customHeight="1" x14ac:dyDescent="0.25">
      <c r="A4" s="69">
        <f t="shared" si="3"/>
        <v>2023</v>
      </c>
      <c r="B4" s="36">
        <v>350370.33600000013</v>
      </c>
      <c r="C4" s="37">
        <v>760000</v>
      </c>
      <c r="D4" s="37">
        <v>1491000</v>
      </c>
      <c r="E4" s="37">
        <v>1437000</v>
      </c>
      <c r="F4" s="37">
        <v>979000</v>
      </c>
      <c r="G4" s="9">
        <f t="shared" si="0"/>
        <v>4667000</v>
      </c>
      <c r="H4" s="9">
        <f t="shared" si="1"/>
        <v>403166.98225020763</v>
      </c>
      <c r="I4" s="9">
        <f t="shared" si="2"/>
        <v>4263833.017749792</v>
      </c>
    </row>
    <row r="5" spans="1:9" ht="15.75" customHeight="1" x14ac:dyDescent="0.25">
      <c r="A5" s="69">
        <f t="shared" si="3"/>
        <v>2024</v>
      </c>
      <c r="B5" s="36">
        <v>346731.97820000013</v>
      </c>
      <c r="C5" s="37">
        <v>776000</v>
      </c>
      <c r="D5" s="37">
        <v>1469000</v>
      </c>
      <c r="E5" s="37">
        <v>1409000</v>
      </c>
      <c r="F5" s="37">
        <v>1078000</v>
      </c>
      <c r="G5" s="9">
        <f t="shared" si="0"/>
        <v>4732000</v>
      </c>
      <c r="H5" s="9">
        <f t="shared" si="1"/>
        <v>398980.36716367101</v>
      </c>
      <c r="I5" s="9">
        <f t="shared" si="2"/>
        <v>4333019.6328363288</v>
      </c>
    </row>
    <row r="6" spans="1:9" ht="15.75" customHeight="1" x14ac:dyDescent="0.25">
      <c r="A6" s="69">
        <f t="shared" si="3"/>
        <v>2025</v>
      </c>
      <c r="B6" s="36">
        <v>342823.25</v>
      </c>
      <c r="C6" s="37">
        <v>792000</v>
      </c>
      <c r="D6" s="37">
        <v>1455000</v>
      </c>
      <c r="E6" s="37">
        <v>1397000</v>
      </c>
      <c r="F6" s="37">
        <v>1166000</v>
      </c>
      <c r="G6" s="9">
        <f t="shared" si="0"/>
        <v>4810000</v>
      </c>
      <c r="H6" s="9">
        <f t="shared" si="1"/>
        <v>394482.64007061499</v>
      </c>
      <c r="I6" s="9">
        <f t="shared" si="2"/>
        <v>4415517.3599293847</v>
      </c>
    </row>
    <row r="7" spans="1:9" ht="15.75" customHeight="1" x14ac:dyDescent="0.25">
      <c r="A7" s="69">
        <f t="shared" si="3"/>
        <v>2026</v>
      </c>
      <c r="B7" s="36">
        <v>341466.17839999998</v>
      </c>
      <c r="C7" s="37">
        <v>805000</v>
      </c>
      <c r="D7" s="37">
        <v>1450000</v>
      </c>
      <c r="E7" s="37">
        <v>1403000</v>
      </c>
      <c r="F7" s="37">
        <v>1246000</v>
      </c>
      <c r="G7" s="9">
        <f t="shared" si="0"/>
        <v>4904000</v>
      </c>
      <c r="H7" s="9">
        <f t="shared" si="1"/>
        <v>392921.07390632224</v>
      </c>
      <c r="I7" s="9">
        <f t="shared" si="2"/>
        <v>4511078.926093678</v>
      </c>
    </row>
    <row r="8" spans="1:9" ht="15.75" customHeight="1" x14ac:dyDescent="0.25">
      <c r="A8" s="69">
        <f t="shared" si="3"/>
        <v>2027</v>
      </c>
      <c r="B8" s="36">
        <v>339913.75799999997</v>
      </c>
      <c r="C8" s="37">
        <v>817000</v>
      </c>
      <c r="D8" s="37">
        <v>1450000</v>
      </c>
      <c r="E8" s="37">
        <v>1425000</v>
      </c>
      <c r="F8" s="37">
        <v>1319000</v>
      </c>
      <c r="G8" s="9">
        <f t="shared" si="0"/>
        <v>5011000</v>
      </c>
      <c r="H8" s="9">
        <f t="shared" si="1"/>
        <v>391134.72219916276</v>
      </c>
      <c r="I8" s="9">
        <f t="shared" si="2"/>
        <v>4619865.2778008375</v>
      </c>
    </row>
    <row r="9" spans="1:9" ht="15.75" customHeight="1" x14ac:dyDescent="0.25">
      <c r="A9" s="69">
        <f t="shared" si="3"/>
        <v>2028</v>
      </c>
      <c r="B9" s="36">
        <v>338169.52159999998</v>
      </c>
      <c r="C9" s="37">
        <v>828000</v>
      </c>
      <c r="D9" s="37">
        <v>1456000</v>
      </c>
      <c r="E9" s="37">
        <v>1455000</v>
      </c>
      <c r="F9" s="37">
        <v>1380000</v>
      </c>
      <c r="G9" s="9">
        <f t="shared" si="0"/>
        <v>5119000</v>
      </c>
      <c r="H9" s="9">
        <f t="shared" si="1"/>
        <v>389127.65010011679</v>
      </c>
      <c r="I9" s="9">
        <f t="shared" si="2"/>
        <v>4729872.3498998834</v>
      </c>
    </row>
    <row r="10" spans="1:9" ht="15.75" customHeight="1" x14ac:dyDescent="0.25">
      <c r="A10" s="69">
        <f t="shared" si="3"/>
        <v>2029</v>
      </c>
      <c r="B10" s="36">
        <v>336255.07439999998</v>
      </c>
      <c r="C10" s="37">
        <v>837000</v>
      </c>
      <c r="D10" s="37">
        <v>1466000</v>
      </c>
      <c r="E10" s="37">
        <v>1480000</v>
      </c>
      <c r="F10" s="37">
        <v>1423000</v>
      </c>
      <c r="G10" s="9">
        <f t="shared" si="0"/>
        <v>5206000</v>
      </c>
      <c r="H10" s="9">
        <f t="shared" si="1"/>
        <v>386924.7184560938</v>
      </c>
      <c r="I10" s="9">
        <f t="shared" si="2"/>
        <v>4819075.2815439058</v>
      </c>
    </row>
    <row r="11" spans="1:9" ht="15.75" customHeight="1" x14ac:dyDescent="0.25">
      <c r="A11" s="69">
        <f t="shared" si="3"/>
        <v>2030</v>
      </c>
      <c r="B11" s="36">
        <v>334190.84399999998</v>
      </c>
      <c r="C11" s="37">
        <v>845000</v>
      </c>
      <c r="D11" s="37">
        <v>1481000</v>
      </c>
      <c r="E11" s="37">
        <v>1489000</v>
      </c>
      <c r="F11" s="37">
        <v>1446000</v>
      </c>
      <c r="G11" s="9">
        <f t="shared" si="0"/>
        <v>5261000</v>
      </c>
      <c r="H11" s="9">
        <f t="shared" si="1"/>
        <v>384549.43306367652</v>
      </c>
      <c r="I11" s="9">
        <f t="shared" si="2"/>
        <v>4876450.5669363234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2968775.3423438654</v>
      </c>
      <c r="I12" s="9">
        <f t="shared" si="2"/>
        <v>15614893.657656135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3026309.7482032427</v>
      </c>
      <c r="I13" s="9">
        <f t="shared" si="2"/>
        <v>16148270.251796758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3095351.0352344955</v>
      </c>
      <c r="I14" s="9">
        <f t="shared" si="2"/>
        <v>16680904.964765504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3152885.4410938728</v>
      </c>
      <c r="I15" s="9">
        <f t="shared" si="2"/>
        <v>17233842.558906127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3.3048458442007408E-3</v>
      </c>
    </row>
    <row r="4" spans="1:8" ht="15.75" customHeight="1" x14ac:dyDescent="0.25">
      <c r="B4" s="11" t="s">
        <v>69</v>
      </c>
      <c r="C4" s="38">
        <v>0.16086401800353381</v>
      </c>
    </row>
    <row r="5" spans="1:8" ht="15.75" customHeight="1" x14ac:dyDescent="0.25">
      <c r="B5" s="11" t="s">
        <v>70</v>
      </c>
      <c r="C5" s="38">
        <v>5.5284278883781859E-2</v>
      </c>
    </row>
    <row r="6" spans="1:8" ht="15.75" customHeight="1" x14ac:dyDescent="0.25">
      <c r="B6" s="11" t="s">
        <v>71</v>
      </c>
      <c r="C6" s="38">
        <v>0.2310749536057104</v>
      </c>
    </row>
    <row r="7" spans="1:8" ht="15.75" customHeight="1" x14ac:dyDescent="0.25">
      <c r="B7" s="11" t="s">
        <v>72</v>
      </c>
      <c r="C7" s="38">
        <v>0.31128333106656503</v>
      </c>
    </row>
    <row r="8" spans="1:8" ht="15.75" customHeight="1" x14ac:dyDescent="0.25">
      <c r="B8" s="11" t="s">
        <v>73</v>
      </c>
      <c r="C8" s="38">
        <v>2.9736399061303211E-3</v>
      </c>
    </row>
    <row r="9" spans="1:8" ht="15.75" customHeight="1" x14ac:dyDescent="0.25">
      <c r="B9" s="11" t="s">
        <v>74</v>
      </c>
      <c r="C9" s="38">
        <v>0.15495940926118229</v>
      </c>
    </row>
    <row r="10" spans="1:8" ht="15.75" customHeight="1" x14ac:dyDescent="0.25">
      <c r="B10" s="11" t="s">
        <v>75</v>
      </c>
      <c r="C10" s="38">
        <v>8.0255523428895581E-2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0.14885089489433759</v>
      </c>
      <c r="D14" s="38">
        <v>0.14885089489433759</v>
      </c>
      <c r="E14" s="38">
        <v>0.14885089489433759</v>
      </c>
      <c r="F14" s="38">
        <v>0.14885089489433759</v>
      </c>
    </row>
    <row r="15" spans="1:8" ht="15.75" customHeight="1" x14ac:dyDescent="0.25">
      <c r="B15" s="11" t="s">
        <v>82</v>
      </c>
      <c r="C15" s="38">
        <v>0.2330056233224557</v>
      </c>
      <c r="D15" s="38">
        <v>0.2330056233224557</v>
      </c>
      <c r="E15" s="38">
        <v>0.2330056233224557</v>
      </c>
      <c r="F15" s="38">
        <v>0.2330056233224557</v>
      </c>
    </row>
    <row r="16" spans="1:8" ht="15.75" customHeight="1" x14ac:dyDescent="0.25">
      <c r="B16" s="11" t="s">
        <v>83</v>
      </c>
      <c r="C16" s="38">
        <v>2.2127469960708669E-2</v>
      </c>
      <c r="D16" s="38">
        <v>2.2127469960708669E-2</v>
      </c>
      <c r="E16" s="38">
        <v>2.2127469960708669E-2</v>
      </c>
      <c r="F16" s="38">
        <v>2.2127469960708669E-2</v>
      </c>
    </row>
    <row r="17" spans="1:8" ht="15.75" customHeight="1" x14ac:dyDescent="0.25">
      <c r="B17" s="11" t="s">
        <v>84</v>
      </c>
      <c r="C17" s="38">
        <v>3.4086356496196178E-3</v>
      </c>
      <c r="D17" s="38">
        <v>3.4086356496196178E-3</v>
      </c>
      <c r="E17" s="38">
        <v>3.4086356496196178E-3</v>
      </c>
      <c r="F17" s="38">
        <v>3.4086356496196178E-3</v>
      </c>
    </row>
    <row r="18" spans="1:8" ht="15.75" customHeight="1" x14ac:dyDescent="0.25">
      <c r="B18" s="11" t="s">
        <v>85</v>
      </c>
      <c r="C18" s="38">
        <v>6.0653355516101662E-3</v>
      </c>
      <c r="D18" s="38">
        <v>6.0653355516101662E-3</v>
      </c>
      <c r="E18" s="38">
        <v>6.0653355516101662E-3</v>
      </c>
      <c r="F18" s="38">
        <v>6.0653355516101662E-3</v>
      </c>
    </row>
    <row r="19" spans="1:8" ht="15.75" customHeight="1" x14ac:dyDescent="0.25">
      <c r="B19" s="11" t="s">
        <v>86</v>
      </c>
      <c r="C19" s="38">
        <v>4.3952070644144338E-2</v>
      </c>
      <c r="D19" s="38">
        <v>4.3952070644144338E-2</v>
      </c>
      <c r="E19" s="38">
        <v>4.3952070644144338E-2</v>
      </c>
      <c r="F19" s="38">
        <v>4.3952070644144338E-2</v>
      </c>
    </row>
    <row r="20" spans="1:8" ht="15.75" customHeight="1" x14ac:dyDescent="0.25">
      <c r="B20" s="11" t="s">
        <v>87</v>
      </c>
      <c r="C20" s="38">
        <v>1.3575328274587529E-2</v>
      </c>
      <c r="D20" s="38">
        <v>1.3575328274587529E-2</v>
      </c>
      <c r="E20" s="38">
        <v>1.3575328274587529E-2</v>
      </c>
      <c r="F20" s="38">
        <v>1.3575328274587529E-2</v>
      </c>
    </row>
    <row r="21" spans="1:8" ht="15.75" customHeight="1" x14ac:dyDescent="0.25">
      <c r="B21" s="11" t="s">
        <v>88</v>
      </c>
      <c r="C21" s="38">
        <v>0.16642027091027631</v>
      </c>
      <c r="D21" s="38">
        <v>0.16642027091027631</v>
      </c>
      <c r="E21" s="38">
        <v>0.16642027091027631</v>
      </c>
      <c r="F21" s="38">
        <v>0.16642027091027631</v>
      </c>
    </row>
    <row r="22" spans="1:8" ht="15.75" customHeight="1" x14ac:dyDescent="0.25">
      <c r="B22" s="11" t="s">
        <v>89</v>
      </c>
      <c r="C22" s="38">
        <v>0.36259437079225998</v>
      </c>
      <c r="D22" s="38">
        <v>0.36259437079225998</v>
      </c>
      <c r="E22" s="38">
        <v>0.36259437079225998</v>
      </c>
      <c r="F22" s="38">
        <v>0.36259437079225998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4.7776088999999987E-2</v>
      </c>
    </row>
    <row r="27" spans="1:8" ht="15.75" customHeight="1" x14ac:dyDescent="0.25">
      <c r="B27" s="11" t="s">
        <v>92</v>
      </c>
      <c r="C27" s="38">
        <v>1.8197206E-2</v>
      </c>
    </row>
    <row r="28" spans="1:8" ht="15.75" customHeight="1" x14ac:dyDescent="0.25">
      <c r="B28" s="11" t="s">
        <v>93</v>
      </c>
      <c r="C28" s="38">
        <v>0.22881369300000001</v>
      </c>
    </row>
    <row r="29" spans="1:8" ht="15.75" customHeight="1" x14ac:dyDescent="0.25">
      <c r="B29" s="11" t="s">
        <v>94</v>
      </c>
      <c r="C29" s="38">
        <v>0.13822648400000001</v>
      </c>
    </row>
    <row r="30" spans="1:8" ht="15.75" customHeight="1" x14ac:dyDescent="0.25">
      <c r="B30" s="11" t="s">
        <v>95</v>
      </c>
      <c r="C30" s="38">
        <v>5.0121434999999999E-2</v>
      </c>
    </row>
    <row r="31" spans="1:8" ht="15.75" customHeight="1" x14ac:dyDescent="0.25">
      <c r="B31" s="11" t="s">
        <v>96</v>
      </c>
      <c r="C31" s="38">
        <v>6.9180167000000001E-2</v>
      </c>
    </row>
    <row r="32" spans="1:8" ht="15.75" customHeight="1" x14ac:dyDescent="0.25">
      <c r="B32" s="11" t="s">
        <v>97</v>
      </c>
      <c r="C32" s="38">
        <v>0.14697111700000001</v>
      </c>
    </row>
    <row r="33" spans="2:3" ht="15.75" customHeight="1" x14ac:dyDescent="0.25">
      <c r="B33" s="11" t="s">
        <v>98</v>
      </c>
      <c r="C33" s="38">
        <v>0.122692382</v>
      </c>
    </row>
    <row r="34" spans="2:3" ht="15.75" customHeight="1" x14ac:dyDescent="0.25">
      <c r="B34" s="11" t="s">
        <v>99</v>
      </c>
      <c r="C34" s="38">
        <v>0.17802142600000001</v>
      </c>
    </row>
    <row r="35" spans="2:3" ht="15.75" customHeight="1" x14ac:dyDescent="0.25">
      <c r="B35" s="16" t="s">
        <v>30</v>
      </c>
      <c r="C35" s="98">
        <f>SUM(C26:C34)</f>
        <v>0.99999999900000003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0.48674634923248217</v>
      </c>
      <c r="D2" s="99">
        <f>IFERROR(1-_xlfn.NORM.DIST(_xlfn.NORM.INV(SUM(D4:D5), 0, 1) + 1, 0, 1, TRUE), "")</f>
        <v>0.48674634923248217</v>
      </c>
      <c r="E2" s="99">
        <f>IFERROR(1-_xlfn.NORM.DIST(_xlfn.NORM.INV(SUM(E4:E5), 0, 1) + 1, 0, 1, TRUE), "")</f>
        <v>0.49825008782883984</v>
      </c>
      <c r="F2" s="99">
        <f>IFERROR(1-_xlfn.NORM.DIST(_xlfn.NORM.INV(SUM(F4:F5), 0, 1) + 1, 0, 1, TRUE), "")</f>
        <v>0.3054772162606304</v>
      </c>
      <c r="G2" s="99">
        <f>IFERROR(1-_xlfn.NORM.DIST(_xlfn.NORM.INV(SUM(G4:G5), 0, 1) + 1, 0, 1, TRUE), "")</f>
        <v>0.24276692682532186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0.34642461608142933</v>
      </c>
      <c r="D3" s="99">
        <f>IFERROR(_xlfn.NORM.DIST(_xlfn.NORM.INV(SUM(D4:D5), 0, 1) + 1, 0, 1, TRUE) - SUM(D4:D5), "")</f>
        <v>0.34642461608142933</v>
      </c>
      <c r="E3" s="99">
        <f>IFERROR(_xlfn.NORM.DIST(_xlfn.NORM.INV(SUM(E4:E5), 0, 1) + 1, 0, 1, TRUE) - SUM(E4:E5), "")</f>
        <v>0.34203095164755465</v>
      </c>
      <c r="F3" s="99">
        <f>IFERROR(_xlfn.NORM.DIST(_xlfn.NORM.INV(SUM(F4:F5), 0, 1) + 1, 0, 1, TRUE) - SUM(F4:F5), "")</f>
        <v>0.38291156349877659</v>
      </c>
      <c r="G3" s="99">
        <f>IFERROR(_xlfn.NORM.DIST(_xlfn.NORM.INV(SUM(G4:G5), 0, 1) + 1, 0, 1, TRUE) - SUM(G4:G5), "")</f>
        <v>0.37612435704442115</v>
      </c>
    </row>
    <row r="4" spans="1:15" ht="15.75" customHeight="1" x14ac:dyDescent="0.25">
      <c r="B4" s="69" t="s">
        <v>104</v>
      </c>
      <c r="C4" s="39">
        <v>9.8093613982200609E-2</v>
      </c>
      <c r="D4" s="39">
        <v>9.8093613982200609E-2</v>
      </c>
      <c r="E4" s="39">
        <v>0.125889152288437</v>
      </c>
      <c r="F4" s="39">
        <v>0.219820261001587</v>
      </c>
      <c r="G4" s="39">
        <v>0.27691757678985601</v>
      </c>
    </row>
    <row r="5" spans="1:15" ht="15.75" customHeight="1" x14ac:dyDescent="0.25">
      <c r="B5" s="69" t="s">
        <v>105</v>
      </c>
      <c r="C5" s="39">
        <v>6.8735420703887898E-2</v>
      </c>
      <c r="D5" s="39">
        <v>6.8735420703887898E-2</v>
      </c>
      <c r="E5" s="39">
        <v>3.3829808235168499E-2</v>
      </c>
      <c r="F5" s="39">
        <v>9.1790959239006001E-2</v>
      </c>
      <c r="G5" s="39">
        <v>0.104191139340401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0.54636355063551556</v>
      </c>
      <c r="D8" s="99">
        <f>IFERROR(1-_xlfn.NORM.DIST(_xlfn.NORM.INV(SUM(D10:D11), 0, 1) + 1, 0, 1, TRUE), "")</f>
        <v>0.54636355063551556</v>
      </c>
      <c r="E8" s="99">
        <f>IFERROR(1-_xlfn.NORM.DIST(_xlfn.NORM.INV(SUM(E10:E11), 0, 1) + 1, 0, 1, TRUE), "")</f>
        <v>0.59257099383299661</v>
      </c>
      <c r="F8" s="99">
        <f>IFERROR(1-_xlfn.NORM.DIST(_xlfn.NORM.INV(SUM(F10:F11), 0, 1) + 1, 0, 1, TRUE), "")</f>
        <v>0.58924763602812602</v>
      </c>
      <c r="G8" s="99">
        <f>IFERROR(1-_xlfn.NORM.DIST(_xlfn.NORM.INV(SUM(G10:G11), 0, 1) + 1, 0, 1, TRUE), "")</f>
        <v>0.63954315982966115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0.32152788021928169</v>
      </c>
      <c r="D9" s="99">
        <f>IFERROR(_xlfn.NORM.DIST(_xlfn.NORM.INV(SUM(D10:D11), 0, 1) + 1, 0, 1, TRUE) - SUM(D10:D11), "")</f>
        <v>0.32152788021928169</v>
      </c>
      <c r="E9" s="99">
        <f>IFERROR(_xlfn.NORM.DIST(_xlfn.NORM.INV(SUM(E10:E11), 0, 1) + 1, 0, 1, TRUE) - SUM(E10:E11), "")</f>
        <v>0.29885802253360438</v>
      </c>
      <c r="F9" s="99">
        <f>IFERROR(_xlfn.NORM.DIST(_xlfn.NORM.INV(SUM(F10:F11), 0, 1) + 1, 0, 1, TRUE) - SUM(F10:F11), "")</f>
        <v>0.30057963589529679</v>
      </c>
      <c r="G9" s="99">
        <f>IFERROR(_xlfn.NORM.DIST(_xlfn.NORM.INV(SUM(G10:G11), 0, 1) + 1, 0, 1, TRUE) - SUM(G10:G11), "")</f>
        <v>0.27310403160543745</v>
      </c>
    </row>
    <row r="10" spans="1:15" ht="15.75" customHeight="1" x14ac:dyDescent="0.25">
      <c r="B10" s="69" t="s">
        <v>109</v>
      </c>
      <c r="C10" s="39">
        <v>7.71378129720688E-2</v>
      </c>
      <c r="D10" s="39">
        <v>7.71378129720688E-2</v>
      </c>
      <c r="E10" s="39">
        <v>7.7788010239601094E-2</v>
      </c>
      <c r="F10" s="39">
        <v>7.9065486788749709E-2</v>
      </c>
      <c r="G10" s="39">
        <v>6.9891609251499204E-2</v>
      </c>
    </row>
    <row r="11" spans="1:15" ht="15.75" customHeight="1" x14ac:dyDescent="0.25">
      <c r="B11" s="69" t="s">
        <v>110</v>
      </c>
      <c r="C11" s="39">
        <v>5.4970756173133913E-2</v>
      </c>
      <c r="D11" s="39">
        <v>5.4970756173133913E-2</v>
      </c>
      <c r="E11" s="39">
        <v>3.0782973393797899E-2</v>
      </c>
      <c r="F11" s="39">
        <v>3.1107241287827499E-2</v>
      </c>
      <c r="G11" s="39">
        <v>1.74611993134022E-2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0.80253134725000008</v>
      </c>
      <c r="D14" s="40">
        <v>0.77318331069899993</v>
      </c>
      <c r="E14" s="40">
        <v>0.77318331069899993</v>
      </c>
      <c r="F14" s="40">
        <v>0.58703675869799998</v>
      </c>
      <c r="G14" s="40">
        <v>0.58703675869799998</v>
      </c>
      <c r="H14" s="41">
        <v>0.55799999999999994</v>
      </c>
      <c r="I14" s="41">
        <v>0.55799999999999994</v>
      </c>
      <c r="J14" s="41">
        <v>0.55799999999999994</v>
      </c>
      <c r="K14" s="41">
        <v>0.55799999999999994</v>
      </c>
      <c r="L14" s="41">
        <v>0.46300000000000002</v>
      </c>
      <c r="M14" s="41">
        <v>0.46300000000000002</v>
      </c>
      <c r="N14" s="41">
        <v>0.46300000000000002</v>
      </c>
      <c r="O14" s="41">
        <v>0.46300000000000002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0.37759420900651403</v>
      </c>
      <c r="D15" s="99">
        <f t="shared" si="0"/>
        <v>0.36378584041712225</v>
      </c>
      <c r="E15" s="99">
        <f t="shared" si="0"/>
        <v>0.36378584041712225</v>
      </c>
      <c r="F15" s="99">
        <f t="shared" si="0"/>
        <v>0.27620314311444377</v>
      </c>
      <c r="G15" s="99">
        <f t="shared" si="0"/>
        <v>0.27620314311444377</v>
      </c>
      <c r="H15" s="99">
        <f t="shared" si="0"/>
        <v>0.26254123199999996</v>
      </c>
      <c r="I15" s="99">
        <f t="shared" si="0"/>
        <v>0.26254123199999996</v>
      </c>
      <c r="J15" s="99">
        <f t="shared" si="0"/>
        <v>0.26254123199999996</v>
      </c>
      <c r="K15" s="99">
        <f t="shared" si="0"/>
        <v>0.26254123199999996</v>
      </c>
      <c r="L15" s="99">
        <f t="shared" si="0"/>
        <v>0.21784335199999999</v>
      </c>
      <c r="M15" s="99">
        <f t="shared" si="0"/>
        <v>0.21784335199999999</v>
      </c>
      <c r="N15" s="99">
        <f t="shared" si="0"/>
        <v>0.21784335199999999</v>
      </c>
      <c r="O15" s="99">
        <f t="shared" si="0"/>
        <v>0.21784335199999999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0.79860424995422408</v>
      </c>
      <c r="D2" s="39">
        <v>0.6358279</v>
      </c>
      <c r="E2" s="39"/>
      <c r="F2" s="39"/>
      <c r="G2" s="39"/>
    </row>
    <row r="3" spans="1:7" x14ac:dyDescent="0.25">
      <c r="B3" s="78" t="s">
        <v>120</v>
      </c>
      <c r="C3" s="39">
        <v>6.0021311044693E-2</v>
      </c>
      <c r="D3" s="39">
        <v>0.1291168</v>
      </c>
      <c r="E3" s="39"/>
      <c r="F3" s="39"/>
      <c r="G3" s="39"/>
    </row>
    <row r="4" spans="1:7" x14ac:dyDescent="0.25">
      <c r="B4" s="78" t="s">
        <v>121</v>
      </c>
      <c r="C4" s="39">
        <v>0.10525893419981</v>
      </c>
      <c r="D4" s="39">
        <v>0.16578209999999999</v>
      </c>
      <c r="E4" s="39">
        <v>0.90795236825942993</v>
      </c>
      <c r="F4" s="39">
        <v>0.58036917448043801</v>
      </c>
      <c r="G4" s="39"/>
    </row>
    <row r="5" spans="1:7" x14ac:dyDescent="0.25">
      <c r="B5" s="78" t="s">
        <v>122</v>
      </c>
      <c r="C5" s="100">
        <v>3.6115519702434498E-2</v>
      </c>
      <c r="D5" s="100">
        <v>6.9273233413696303E-2</v>
      </c>
      <c r="E5" s="100">
        <f>1-E2-E3-E4</f>
        <v>9.2047631740570068E-2</v>
      </c>
      <c r="F5" s="100">
        <f>1-F2-F3-F4</f>
        <v>0.41963082551956199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2023-01-25T00:41:11Z</dcterms:modified>
</cp:coreProperties>
</file>