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57E1F226-78B6-4FDA-9B18-F7199F536B9E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I39" i="2" s="1"/>
  <c r="G39" i="2"/>
  <c r="A39" i="2"/>
  <c r="H38" i="2"/>
  <c r="I38" i="2" s="1"/>
  <c r="G38" i="2"/>
  <c r="H37" i="2"/>
  <c r="I37" i="2" s="1"/>
  <c r="G37" i="2"/>
  <c r="A37" i="2"/>
  <c r="H36" i="2"/>
  <c r="I36" i="2" s="1"/>
  <c r="G36" i="2"/>
  <c r="H35" i="2"/>
  <c r="I35" i="2" s="1"/>
  <c r="G35" i="2"/>
  <c r="A35" i="2"/>
  <c r="H34" i="2"/>
  <c r="I34" i="2" s="1"/>
  <c r="G34" i="2"/>
  <c r="H33" i="2"/>
  <c r="I33" i="2" s="1"/>
  <c r="G33" i="2"/>
  <c r="A33" i="2"/>
  <c r="H32" i="2"/>
  <c r="I32" i="2" s="1"/>
  <c r="G32" i="2"/>
  <c r="H31" i="2"/>
  <c r="I31" i="2" s="1"/>
  <c r="G31" i="2"/>
  <c r="A31" i="2"/>
  <c r="H30" i="2"/>
  <c r="I30" i="2" s="1"/>
  <c r="G30" i="2"/>
  <c r="H29" i="2"/>
  <c r="I29" i="2" s="1"/>
  <c r="G29" i="2"/>
  <c r="A29" i="2"/>
  <c r="H28" i="2"/>
  <c r="I28" i="2" s="1"/>
  <c r="G28" i="2"/>
  <c r="H27" i="2"/>
  <c r="I27" i="2" s="1"/>
  <c r="G27" i="2"/>
  <c r="A27" i="2"/>
  <c r="H26" i="2"/>
  <c r="I26" i="2" s="1"/>
  <c r="G26" i="2"/>
  <c r="H25" i="2"/>
  <c r="I25" i="2" s="1"/>
  <c r="G25" i="2"/>
  <c r="A25" i="2"/>
  <c r="H24" i="2"/>
  <c r="I24" i="2" s="1"/>
  <c r="G24" i="2"/>
  <c r="H23" i="2"/>
  <c r="I23" i="2" s="1"/>
  <c r="G23" i="2"/>
  <c r="A23" i="2"/>
  <c r="H22" i="2"/>
  <c r="I22" i="2" s="1"/>
  <c r="G22" i="2"/>
  <c r="H21" i="2"/>
  <c r="I21" i="2" s="1"/>
  <c r="G21" i="2"/>
  <c r="A21" i="2"/>
  <c r="H20" i="2"/>
  <c r="I20" i="2" s="1"/>
  <c r="G20" i="2"/>
  <c r="H19" i="2"/>
  <c r="I19" i="2" s="1"/>
  <c r="G19" i="2"/>
  <c r="A19" i="2"/>
  <c r="H18" i="2"/>
  <c r="I18" i="2" s="1"/>
  <c r="G18" i="2"/>
  <c r="H17" i="2"/>
  <c r="I17" i="2" s="1"/>
  <c r="G17" i="2"/>
  <c r="A17" i="2"/>
  <c r="H16" i="2"/>
  <c r="I16" i="2" s="1"/>
  <c r="G16" i="2"/>
  <c r="H15" i="2"/>
  <c r="I15" i="2" s="1"/>
  <c r="G15" i="2"/>
  <c r="A15" i="2"/>
  <c r="H14" i="2"/>
  <c r="I14" i="2" s="1"/>
  <c r="G14" i="2"/>
  <c r="H13" i="2"/>
  <c r="I13" i="2" s="1"/>
  <c r="G13" i="2"/>
  <c r="A13" i="2"/>
  <c r="H12" i="2"/>
  <c r="I12" i="2" s="1"/>
  <c r="G12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A3" i="2"/>
  <c r="H2" i="2"/>
  <c r="I2" i="2" s="1"/>
  <c r="G2" i="2"/>
  <c r="A2" i="2"/>
  <c r="A40" i="2" s="1"/>
  <c r="C33" i="1"/>
  <c r="C20" i="1"/>
  <c r="D58" i="20" l="1"/>
  <c r="A4" i="2"/>
  <c r="A5" i="2" s="1"/>
  <c r="A6" i="2" s="1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<sst xmlns="http://schemas.openxmlformats.org/spreadsheetml/2006/main" count="2093" uniqueCount="337">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</sst>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19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8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55409.916015625</v>
      </c>
    </row>
    <row r="8" spans="1:3" ht="15" customHeight="1" x14ac:dyDescent="0.25">
      <c r="B8" s="69" t="s">
        <v>8</v>
      </c>
      <c r="C8" s="32">
        <v>0.23400000000000001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0.64718109130859403</v>
      </c>
    </row>
    <row r="11" spans="1:3" ht="15" customHeight="1" x14ac:dyDescent="0.25">
      <c r="B11" s="69" t="s">
        <v>11</v>
      </c>
      <c r="C11" s="32">
        <v>0.66799999999999993</v>
      </c>
    </row>
    <row r="12" spans="1:3" ht="15" customHeight="1" x14ac:dyDescent="0.25">
      <c r="B12" s="69" t="s">
        <v>12</v>
      </c>
      <c r="C12" s="32">
        <v>0.75800000000000001</v>
      </c>
    </row>
    <row r="13" spans="1:3" ht="15" customHeight="1" x14ac:dyDescent="0.25">
      <c r="B13" s="69" t="s">
        <v>13</v>
      </c>
      <c r="C13" s="32">
        <v>0.26800000000000002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9.8800000000000013E-2</v>
      </c>
    </row>
    <row r="24" spans="1:3" ht="15" customHeight="1" x14ac:dyDescent="0.25">
      <c r="B24" s="7" t="s">
        <v>22</v>
      </c>
      <c r="C24" s="33">
        <v>0.50419999999999998</v>
      </c>
    </row>
    <row r="25" spans="1:3" ht="15" customHeight="1" x14ac:dyDescent="0.25">
      <c r="B25" s="7" t="s">
        <v>23</v>
      </c>
      <c r="C25" s="33">
        <v>0.33889999999999998</v>
      </c>
    </row>
    <row r="26" spans="1:3" ht="15" customHeight="1" x14ac:dyDescent="0.25">
      <c r="B26" s="7" t="s">
        <v>24</v>
      </c>
      <c r="C26" s="33">
        <v>5.8099999999999999E-2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0.35675533525383901</v>
      </c>
    </row>
    <row r="30" spans="1:3" ht="14.25" customHeight="1" x14ac:dyDescent="0.25">
      <c r="B30" s="15" t="s">
        <v>27</v>
      </c>
      <c r="C30" s="42">
        <v>6.5910586704521698E-2</v>
      </c>
    </row>
    <row r="31" spans="1:3" ht="14.25" customHeight="1" x14ac:dyDescent="0.25">
      <c r="B31" s="15" t="s">
        <v>28</v>
      </c>
      <c r="C31" s="42">
        <v>9.262041217609189E-2</v>
      </c>
    </row>
    <row r="32" spans="1:3" ht="14.25" customHeight="1" x14ac:dyDescent="0.25">
      <c r="B32" s="15" t="s">
        <v>29</v>
      </c>
      <c r="C32" s="42">
        <v>0.48471366586554798</v>
      </c>
    </row>
    <row r="33" spans="1:5" ht="13.2" customHeight="1" x14ac:dyDescent="0.25">
      <c r="B33" s="16" t="s">
        <v>30</v>
      </c>
      <c r="C33" s="98">
        <f>SUM(C29:C32)</f>
        <v>1.0000000000000004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11.215158746277901</v>
      </c>
    </row>
    <row r="38" spans="1:5" ht="15" customHeight="1" x14ac:dyDescent="0.25">
      <c r="B38" s="65" t="s">
        <v>34</v>
      </c>
      <c r="C38" s="94">
        <v>16.079923623550702</v>
      </c>
      <c r="D38" s="5"/>
      <c r="E38" s="6"/>
    </row>
    <row r="39" spans="1:5" ht="15" customHeight="1" x14ac:dyDescent="0.25">
      <c r="B39" s="65" t="s">
        <v>35</v>
      </c>
      <c r="C39" s="94">
        <v>17.9947473470686</v>
      </c>
      <c r="D39" s="5"/>
      <c r="E39" s="5"/>
    </row>
    <row r="40" spans="1:5" ht="15" customHeight="1" x14ac:dyDescent="0.25">
      <c r="B40" s="65" t="s">
        <v>36</v>
      </c>
      <c r="C40" s="94">
        <v>1.2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11.203926129999999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1.93575E-2</v>
      </c>
      <c r="D45" s="5"/>
    </row>
    <row r="46" spans="1:5" ht="15.75" customHeight="1" x14ac:dyDescent="0.25">
      <c r="B46" s="65" t="s">
        <v>41</v>
      </c>
      <c r="C46" s="33">
        <v>6.8779460000000001E-2</v>
      </c>
      <c r="D46" s="5"/>
    </row>
    <row r="47" spans="1:5" ht="15.75" customHeight="1" x14ac:dyDescent="0.25">
      <c r="B47" s="65" t="s">
        <v>42</v>
      </c>
      <c r="C47" s="33">
        <v>0.15340100000000001</v>
      </c>
      <c r="D47" s="5"/>
      <c r="E47" s="6"/>
    </row>
    <row r="48" spans="1:5" ht="15" customHeight="1" x14ac:dyDescent="0.25">
      <c r="B48" s="65" t="s">
        <v>43</v>
      </c>
      <c r="C48" s="97">
        <v>0.75846203999999995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3.2</v>
      </c>
      <c r="D51" s="5"/>
    </row>
    <row r="52" spans="1:4" ht="15" customHeight="1" x14ac:dyDescent="0.25">
      <c r="B52" s="65" t="s">
        <v>46</v>
      </c>
      <c r="C52" s="35">
        <v>3.2</v>
      </c>
    </row>
    <row r="53" spans="1:4" ht="15.75" customHeight="1" x14ac:dyDescent="0.25">
      <c r="B53" s="65" t="s">
        <v>47</v>
      </c>
      <c r="C53" s="35">
        <v>3.2</v>
      </c>
    </row>
    <row r="54" spans="1:4" ht="15.75" customHeight="1" x14ac:dyDescent="0.25">
      <c r="B54" s="65" t="s">
        <v>48</v>
      </c>
      <c r="C54" s="35">
        <v>3.2</v>
      </c>
    </row>
    <row r="55" spans="1:4" ht="15.75" customHeight="1" x14ac:dyDescent="0.25">
      <c r="B55" s="65" t="s">
        <v>49</v>
      </c>
      <c r="C55" s="35">
        <v>3.2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1.9375E-2</v>
      </c>
    </row>
    <row r="59" spans="1:4" ht="15.75" customHeight="1" x14ac:dyDescent="0.25">
      <c r="B59" s="65" t="s">
        <v>52</v>
      </c>
      <c r="C59" s="32">
        <v>0.54960799999999999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0.14658528000000001</v>
      </c>
    </row>
    <row r="63" spans="1:4" ht="15.75" customHeight="1" x14ac:dyDescent="0.25">
      <c r="A63" s="52"/>
    </row>
  </sheetData>
  <sheetProtection algorithmName="SHA-512" hashValue="ghjhUeOjSu54joBj/6evx4SDOum03F8iG0XenhK4Pa/EwlZsPGOFRJixryTp+uMxjrhg9XtQ76Ucb9iWhxMXFQ==" saltValue="6XF2re2LSlNjO/MuSAZoe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9932.0628000000015</v>
      </c>
      <c r="C2" s="37">
        <v>23000</v>
      </c>
      <c r="D2" s="37">
        <v>46000</v>
      </c>
      <c r="E2" s="37">
        <v>1182000</v>
      </c>
      <c r="F2" s="37">
        <v>1003000</v>
      </c>
      <c r="G2" s="9">
        <f t="shared" ref="G2:G40" si="0">C2+D2+E2+F2</f>
        <v>2254000</v>
      </c>
      <c r="H2" s="9">
        <f t="shared" ref="H2:H40" si="1">(B2 + stillbirth*B2/(1000-stillbirth))/(1-abortion)</f>
        <v>11414.320200348877</v>
      </c>
      <c r="I2" s="9">
        <f t="shared" ref="I2:I40" si="2">G2-H2</f>
        <v>2242585.6797996513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9886.7235999999994</v>
      </c>
      <c r="C3" s="37">
        <v>23000</v>
      </c>
      <c r="D3" s="37">
        <v>46000</v>
      </c>
      <c r="E3" s="37">
        <v>1252000</v>
      </c>
      <c r="F3" s="37">
        <v>1084000</v>
      </c>
      <c r="G3" s="9">
        <f t="shared" si="0"/>
        <v>2405000</v>
      </c>
      <c r="H3" s="9">
        <f t="shared" si="1"/>
        <v>11362.214594811658</v>
      </c>
      <c r="I3" s="9">
        <f t="shared" si="2"/>
        <v>2393637.7854051883</v>
      </c>
    </row>
    <row r="4" spans="1:9" ht="15.75" customHeight="1" x14ac:dyDescent="0.25">
      <c r="A4" s="69">
        <f t="shared" si="3"/>
        <v>2023</v>
      </c>
      <c r="B4" s="36">
        <v>9822.5382000000009</v>
      </c>
      <c r="C4" s="37">
        <v>23000</v>
      </c>
      <c r="D4" s="37">
        <v>46000</v>
      </c>
      <c r="E4" s="37">
        <v>1329000</v>
      </c>
      <c r="F4" s="37">
        <v>1176000</v>
      </c>
      <c r="G4" s="9">
        <f t="shared" si="0"/>
        <v>2574000</v>
      </c>
      <c r="H4" s="9">
        <f t="shared" si="1"/>
        <v>11288.450189316009</v>
      </c>
      <c r="I4" s="9">
        <f t="shared" si="2"/>
        <v>2562711.5498106838</v>
      </c>
    </row>
    <row r="5" spans="1:9" ht="15.75" customHeight="1" x14ac:dyDescent="0.25">
      <c r="A5" s="69">
        <f t="shared" si="3"/>
        <v>2024</v>
      </c>
      <c r="B5" s="36">
        <v>9756.5720000000001</v>
      </c>
      <c r="C5" s="37">
        <v>23000</v>
      </c>
      <c r="D5" s="37">
        <v>46000</v>
      </c>
      <c r="E5" s="37">
        <v>1413000</v>
      </c>
      <c r="F5" s="37">
        <v>1269000</v>
      </c>
      <c r="G5" s="9">
        <f t="shared" si="0"/>
        <v>2751000</v>
      </c>
      <c r="H5" s="9">
        <f t="shared" si="1"/>
        <v>11212.639217883139</v>
      </c>
      <c r="I5" s="9">
        <f t="shared" si="2"/>
        <v>2739787.3607821167</v>
      </c>
    </row>
    <row r="6" spans="1:9" ht="15.75" customHeight="1" x14ac:dyDescent="0.25">
      <c r="A6" s="69">
        <f t="shared" si="3"/>
        <v>2025</v>
      </c>
      <c r="B6" s="36">
        <v>9688.8250000000007</v>
      </c>
      <c r="C6" s="37">
        <v>23000</v>
      </c>
      <c r="D6" s="37">
        <v>46000</v>
      </c>
      <c r="E6" s="37">
        <v>1501000</v>
      </c>
      <c r="F6" s="37">
        <v>1356000</v>
      </c>
      <c r="G6" s="9">
        <f t="shared" si="0"/>
        <v>2926000</v>
      </c>
      <c r="H6" s="9">
        <f t="shared" si="1"/>
        <v>11134.781680513057</v>
      </c>
      <c r="I6" s="9">
        <f t="shared" si="2"/>
        <v>2914865.2183194868</v>
      </c>
    </row>
    <row r="7" spans="1:9" ht="15.75" customHeight="1" x14ac:dyDescent="0.25">
      <c r="A7" s="69">
        <f t="shared" si="3"/>
        <v>2026</v>
      </c>
      <c r="B7" s="36">
        <v>9630.9953999999998</v>
      </c>
      <c r="C7" s="37">
        <v>23000</v>
      </c>
      <c r="D7" s="37">
        <v>46000</v>
      </c>
      <c r="E7" s="37">
        <v>1568000</v>
      </c>
      <c r="F7" s="37">
        <v>1422000</v>
      </c>
      <c r="G7" s="9">
        <f t="shared" si="0"/>
        <v>3059000</v>
      </c>
      <c r="H7" s="9">
        <f t="shared" si="1"/>
        <v>11068.321612272437</v>
      </c>
      <c r="I7" s="9">
        <f t="shared" si="2"/>
        <v>3047931.6783877276</v>
      </c>
    </row>
    <row r="8" spans="1:9" ht="15.75" customHeight="1" x14ac:dyDescent="0.25">
      <c r="A8" s="69">
        <f t="shared" si="3"/>
        <v>2027</v>
      </c>
      <c r="B8" s="36">
        <v>9571.5401999999995</v>
      </c>
      <c r="C8" s="37">
        <v>24000</v>
      </c>
      <c r="D8" s="37">
        <v>46000</v>
      </c>
      <c r="E8" s="37">
        <v>1636000</v>
      </c>
      <c r="F8" s="37">
        <v>1477000</v>
      </c>
      <c r="G8" s="9">
        <f t="shared" si="0"/>
        <v>3183000</v>
      </c>
      <c r="H8" s="9">
        <f t="shared" si="1"/>
        <v>10999.993340085535</v>
      </c>
      <c r="I8" s="9">
        <f t="shared" si="2"/>
        <v>3172000.0066599143</v>
      </c>
    </row>
    <row r="9" spans="1:9" ht="15.75" customHeight="1" x14ac:dyDescent="0.25">
      <c r="A9" s="69">
        <f t="shared" si="3"/>
        <v>2028</v>
      </c>
      <c r="B9" s="36">
        <v>9494.8940000000002</v>
      </c>
      <c r="C9" s="37">
        <v>24000</v>
      </c>
      <c r="D9" s="37">
        <v>46000</v>
      </c>
      <c r="E9" s="37">
        <v>1705000</v>
      </c>
      <c r="F9" s="37">
        <v>1525000</v>
      </c>
      <c r="G9" s="9">
        <f t="shared" si="0"/>
        <v>3300000</v>
      </c>
      <c r="H9" s="9">
        <f t="shared" si="1"/>
        <v>10911.908489379603</v>
      </c>
      <c r="I9" s="9">
        <f t="shared" si="2"/>
        <v>3289088.0915106204</v>
      </c>
    </row>
    <row r="10" spans="1:9" ht="15.75" customHeight="1" x14ac:dyDescent="0.25">
      <c r="A10" s="69">
        <f t="shared" si="3"/>
        <v>2029</v>
      </c>
      <c r="B10" s="36">
        <v>9432.3907999999992</v>
      </c>
      <c r="C10" s="37">
        <v>24000</v>
      </c>
      <c r="D10" s="37">
        <v>45000</v>
      </c>
      <c r="E10" s="37">
        <v>1774000</v>
      </c>
      <c r="F10" s="37">
        <v>1565000</v>
      </c>
      <c r="G10" s="9">
        <f t="shared" si="0"/>
        <v>3408000</v>
      </c>
      <c r="H10" s="9">
        <f t="shared" si="1"/>
        <v>10840.077334793421</v>
      </c>
      <c r="I10" s="9">
        <f t="shared" si="2"/>
        <v>3397159.9226652067</v>
      </c>
    </row>
    <row r="11" spans="1:9" ht="15.75" customHeight="1" x14ac:dyDescent="0.25">
      <c r="A11" s="69">
        <f t="shared" si="3"/>
        <v>2030</v>
      </c>
      <c r="B11" s="36">
        <v>9353.1029999999992</v>
      </c>
      <c r="C11" s="37">
        <v>24000</v>
      </c>
      <c r="D11" s="37">
        <v>45000</v>
      </c>
      <c r="E11" s="37">
        <v>1841000</v>
      </c>
      <c r="F11" s="37">
        <v>1599000</v>
      </c>
      <c r="G11" s="9">
        <f t="shared" si="0"/>
        <v>3509000</v>
      </c>
      <c r="H11" s="9">
        <f t="shared" si="1"/>
        <v>10748.956652674775</v>
      </c>
      <c r="I11" s="9">
        <f t="shared" si="2"/>
        <v>3498251.0433473252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2965038.2513590325</v>
      </c>
      <c r="I12" s="9">
        <f t="shared" si="2"/>
        <v>15618630.748640968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3022500.2329745181</v>
      </c>
      <c r="I13" s="9">
        <f t="shared" si="2"/>
        <v>16152079.767025482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3091454.6109131002</v>
      </c>
      <c r="I14" s="9">
        <f t="shared" si="2"/>
        <v>16684801.3890869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3148916.5925285853</v>
      </c>
      <c r="I15" s="9">
        <f t="shared" si="2"/>
        <v>17237811.407471415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F7XnqcsfMF36HsHPq5glo44UkWbfoChY8CwFGqcmwyYulQZVzGfYBO47ByB1ETUpxkm1MIzw6Pvmuy8g5Ppqog==" saltValue="XvwOVbIWjwyJYz+XnK/toQ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C11" activeCellId="2" sqref="C35 C23:F23 C11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0.15674200299506441</v>
      </c>
    </row>
    <row r="5" spans="1:8" ht="15.75" customHeight="1" x14ac:dyDescent="0.25">
      <c r="B5" s="11" t="s">
        <v>70</v>
      </c>
      <c r="C5" s="38">
        <v>2.5581404940566779E-3</v>
      </c>
    </row>
    <row r="6" spans="1:8" ht="15.75" customHeight="1" x14ac:dyDescent="0.25">
      <c r="B6" s="11" t="s">
        <v>71</v>
      </c>
      <c r="C6" s="38">
        <v>0.18902452665792679</v>
      </c>
    </row>
    <row r="7" spans="1:8" ht="15.75" customHeight="1" x14ac:dyDescent="0.25">
      <c r="B7" s="11" t="s">
        <v>72</v>
      </c>
      <c r="C7" s="38">
        <v>0.43305943212979531</v>
      </c>
    </row>
    <row r="8" spans="1:8" ht="15.75" customHeight="1" x14ac:dyDescent="0.25">
      <c r="B8" s="11" t="s">
        <v>73</v>
      </c>
      <c r="C8" s="38">
        <v>0</v>
      </c>
    </row>
    <row r="9" spans="1:8" ht="15.75" customHeight="1" x14ac:dyDescent="0.25">
      <c r="B9" s="11" t="s">
        <v>74</v>
      </c>
      <c r="C9" s="38">
        <v>0.1610509257617517</v>
      </c>
    </row>
    <row r="10" spans="1:8" ht="15.75" customHeight="1" x14ac:dyDescent="0.25">
      <c r="B10" s="11" t="s">
        <v>75</v>
      </c>
      <c r="C10" s="38">
        <v>5.7564971961404997E-2</v>
      </c>
    </row>
    <row r="11" spans="1:8" ht="15.75" customHeight="1" x14ac:dyDescent="0.25">
      <c r="B11" s="16" t="s">
        <v>30</v>
      </c>
      <c r="C11" s="98">
        <f>SUM(C3:C10)</f>
        <v>0.99999999999999989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" t="s">
        <v>77</v>
      </c>
      <c r="D13" s="10" t="s">
        <v>78</v>
      </c>
      <c r="E13" s="10" t="s">
        <v>79</v>
      </c>
      <c r="F13" s="10" t="s">
        <v>80</v>
      </c>
      <c r="G13" s="11"/>
    </row>
    <row r="14" spans="1:8" ht="15.75" customHeight="1" x14ac:dyDescent="0.25">
      <c r="B14" s="11" t="s">
        <v>81</v>
      </c>
      <c r="C14" s="38">
        <v>3.432082295448232E-2</v>
      </c>
      <c r="D14" s="38">
        <v>3.432082295448232E-2</v>
      </c>
      <c r="E14" s="38">
        <v>3.432082295448232E-2</v>
      </c>
      <c r="F14" s="38">
        <v>3.432082295448232E-2</v>
      </c>
    </row>
    <row r="15" spans="1:8" ht="15.75" customHeight="1" x14ac:dyDescent="0.25">
      <c r="B15" s="11" t="s">
        <v>82</v>
      </c>
      <c r="C15" s="38">
        <v>0.140666645243958</v>
      </c>
      <c r="D15" s="38">
        <v>0.140666645243958</v>
      </c>
      <c r="E15" s="38">
        <v>0.140666645243958</v>
      </c>
      <c r="F15" s="38">
        <v>0.140666645243958</v>
      </c>
    </row>
    <row r="16" spans="1:8" ht="15.75" customHeight="1" x14ac:dyDescent="0.25">
      <c r="B16" s="11" t="s">
        <v>83</v>
      </c>
      <c r="C16" s="38">
        <v>3.1096352700361748E-2</v>
      </c>
      <c r="D16" s="38">
        <v>3.1096352700361748E-2</v>
      </c>
      <c r="E16" s="38">
        <v>3.1096352700361748E-2</v>
      </c>
      <c r="F16" s="38">
        <v>3.1096352700361748E-2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0</v>
      </c>
      <c r="D18" s="38">
        <v>0</v>
      </c>
      <c r="E18" s="38">
        <v>0</v>
      </c>
      <c r="F18" s="38">
        <v>0</v>
      </c>
    </row>
    <row r="19" spans="1:8" ht="15.75" customHeight="1" x14ac:dyDescent="0.25">
      <c r="B19" s="11" t="s">
        <v>86</v>
      </c>
      <c r="C19" s="38">
        <v>0</v>
      </c>
      <c r="D19" s="38">
        <v>0</v>
      </c>
      <c r="E19" s="38">
        <v>0</v>
      </c>
      <c r="F19" s="38">
        <v>0</v>
      </c>
    </row>
    <row r="20" spans="1:8" ht="15.75" customHeight="1" x14ac:dyDescent="0.25">
      <c r="B20" s="11" t="s">
        <v>87</v>
      </c>
      <c r="C20" s="38">
        <v>4.3005050749764108E-2</v>
      </c>
      <c r="D20" s="38">
        <v>4.3005050749764108E-2</v>
      </c>
      <c r="E20" s="38">
        <v>4.3005050749764108E-2</v>
      </c>
      <c r="F20" s="38">
        <v>4.3005050749764108E-2</v>
      </c>
    </row>
    <row r="21" spans="1:8" ht="15.75" customHeight="1" x14ac:dyDescent="0.25">
      <c r="B21" s="11" t="s">
        <v>88</v>
      </c>
      <c r="C21" s="38">
        <v>0.2127879302138618</v>
      </c>
      <c r="D21" s="38">
        <v>0.2127879302138618</v>
      </c>
      <c r="E21" s="38">
        <v>0.2127879302138618</v>
      </c>
      <c r="F21" s="38">
        <v>0.2127879302138618</v>
      </c>
    </row>
    <row r="22" spans="1:8" ht="15.75" customHeight="1" x14ac:dyDescent="0.25">
      <c r="B22" s="11" t="s">
        <v>89</v>
      </c>
      <c r="C22" s="38">
        <v>0.53812319813757215</v>
      </c>
      <c r="D22" s="38">
        <v>0.53812319813757215</v>
      </c>
      <c r="E22" s="38">
        <v>0.53812319813757215</v>
      </c>
      <c r="F22" s="38">
        <v>0.53812319813757215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5.7343604999999999E-2</v>
      </c>
    </row>
    <row r="27" spans="1:8" ht="15.75" customHeight="1" x14ac:dyDescent="0.25">
      <c r="B27" s="11" t="s">
        <v>92</v>
      </c>
      <c r="C27" s="38">
        <v>1.4167997E-2</v>
      </c>
    </row>
    <row r="28" spans="1:8" ht="15.75" customHeight="1" x14ac:dyDescent="0.25">
      <c r="B28" s="11" t="s">
        <v>93</v>
      </c>
      <c r="C28" s="38">
        <v>0.101559973</v>
      </c>
    </row>
    <row r="29" spans="1:8" ht="15.75" customHeight="1" x14ac:dyDescent="0.25">
      <c r="B29" s="11" t="s">
        <v>94</v>
      </c>
      <c r="C29" s="38">
        <v>0.21960849700000001</v>
      </c>
    </row>
    <row r="30" spans="1:8" ht="15.75" customHeight="1" x14ac:dyDescent="0.25">
      <c r="B30" s="11" t="s">
        <v>95</v>
      </c>
      <c r="C30" s="38">
        <v>5.5062585999999997E-2</v>
      </c>
    </row>
    <row r="31" spans="1:8" ht="15.75" customHeight="1" x14ac:dyDescent="0.25">
      <c r="B31" s="11" t="s">
        <v>96</v>
      </c>
      <c r="C31" s="38">
        <v>0.14229177300000001</v>
      </c>
    </row>
    <row r="32" spans="1:8" ht="15.75" customHeight="1" x14ac:dyDescent="0.25">
      <c r="B32" s="11" t="s">
        <v>97</v>
      </c>
      <c r="C32" s="38">
        <v>3.0837276E-2</v>
      </c>
    </row>
    <row r="33" spans="2:3" ht="15.75" customHeight="1" x14ac:dyDescent="0.25">
      <c r="B33" s="11" t="s">
        <v>98</v>
      </c>
      <c r="C33" s="38">
        <v>8.2024560999999996E-2</v>
      </c>
    </row>
    <row r="34" spans="2:3" ht="15.75" customHeight="1" x14ac:dyDescent="0.25">
      <c r="B34" s="11" t="s">
        <v>99</v>
      </c>
      <c r="C34" s="38">
        <v>0.29710373299999998</v>
      </c>
    </row>
    <row r="35" spans="2:3" ht="15.75" customHeight="1" x14ac:dyDescent="0.25">
      <c r="B35" s="16" t="s">
        <v>30</v>
      </c>
      <c r="C35" s="98">
        <f>SUM(C26:C34)</f>
        <v>1.0000000010000001</v>
      </c>
    </row>
  </sheetData>
  <sheetProtection algorithmName="SHA-512" hashValue="an1e5ZuNxdAjpqp+GPpiMKRl+dgZd2ee1+nk+6Gq7gMYS652N3DNsXbOSU6to2AV2jOYd98V1MSDv9rlTk+nDA==" saltValue="Dq+Lw09k5RjsLoeVINiZK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0.71787305407374347</v>
      </c>
      <c r="D2" s="99">
        <f>IFERROR(1-_xlfn.NORM.DIST(_xlfn.NORM.INV(SUM(D4:D5), 0, 1) + 1, 0, 1, TRUE), "")</f>
        <v>0.71787305407374347</v>
      </c>
      <c r="E2" s="99">
        <f>IFERROR(1-_xlfn.NORM.DIST(_xlfn.NORM.INV(SUM(E4:E5), 0, 1) + 1, 0, 1, TRUE), "")</f>
        <v>0.78835828140046849</v>
      </c>
      <c r="F2" s="99">
        <f>IFERROR(1-_xlfn.NORM.DIST(_xlfn.NORM.INV(SUM(F4:F5), 0, 1) + 1, 0, 1, TRUE), "")</f>
        <v>0.66194714301183777</v>
      </c>
      <c r="G2" s="99">
        <f>IFERROR(1-_xlfn.NORM.DIST(_xlfn.NORM.INV(SUM(G4:G5), 0, 1) + 1, 0, 1, TRUE), "")</f>
        <v>0.61735892155936034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0.22467561992625654</v>
      </c>
      <c r="D3" s="99">
        <f>IFERROR(_xlfn.NORM.DIST(_xlfn.NORM.INV(SUM(D4:D5), 0, 1) + 1, 0, 1, TRUE) - SUM(D4:D5), "")</f>
        <v>0.22467561992625654</v>
      </c>
      <c r="E3" s="99">
        <f>IFERROR(_xlfn.NORM.DIST(_xlfn.NORM.INV(SUM(E4:E5), 0, 1) + 1, 0, 1, TRUE) - SUM(E4:E5), "")</f>
        <v>0.17576961259953156</v>
      </c>
      <c r="F3" s="99">
        <f>IFERROR(_xlfn.NORM.DIST(_xlfn.NORM.INV(SUM(F4:F5), 0, 1) + 1, 0, 1, TRUE) - SUM(F4:F5), "")</f>
        <v>0.25992580598816228</v>
      </c>
      <c r="G3" s="99">
        <f>IFERROR(_xlfn.NORM.DIST(_xlfn.NORM.INV(SUM(G4:G5), 0, 1) + 1, 0, 1, TRUE) - SUM(G4:G5), "")</f>
        <v>0.28559215944063965</v>
      </c>
    </row>
    <row r="4" spans="1:15" ht="15.75" customHeight="1" x14ac:dyDescent="0.25">
      <c r="B4" s="69" t="s">
        <v>104</v>
      </c>
      <c r="C4" s="39">
        <v>4.5964250999999998E-2</v>
      </c>
      <c r="D4" s="39">
        <v>4.5964250999999998E-2</v>
      </c>
      <c r="E4" s="39">
        <v>1.7641047999999999E-2</v>
      </c>
      <c r="F4" s="39">
        <v>6.0780543999999999E-2</v>
      </c>
      <c r="G4" s="39">
        <v>7.2927145999999998E-2</v>
      </c>
    </row>
    <row r="5" spans="1:15" ht="15.75" customHeight="1" x14ac:dyDescent="0.25">
      <c r="B5" s="69" t="s">
        <v>105</v>
      </c>
      <c r="C5" s="39">
        <v>1.1487074999999999E-2</v>
      </c>
      <c r="D5" s="39">
        <v>1.1487074999999999E-2</v>
      </c>
      <c r="E5" s="39">
        <v>1.8231058000000001E-2</v>
      </c>
      <c r="F5" s="39">
        <v>1.7346507000000001E-2</v>
      </c>
      <c r="G5" s="39">
        <v>2.4121772999999999E-2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0.69811791722499039</v>
      </c>
      <c r="D8" s="99">
        <f>IFERROR(1-_xlfn.NORM.DIST(_xlfn.NORM.INV(SUM(D10:D11), 0, 1) + 1, 0, 1, TRUE), "")</f>
        <v>0.69811791722499039</v>
      </c>
      <c r="E8" s="99">
        <f>IFERROR(1-_xlfn.NORM.DIST(_xlfn.NORM.INV(SUM(E10:E11), 0, 1) + 1, 0, 1, TRUE), "")</f>
        <v>0.64641387777733006</v>
      </c>
      <c r="F8" s="99">
        <f>IFERROR(1-_xlfn.NORM.DIST(_xlfn.NORM.INV(SUM(F10:F11), 0, 1) + 1, 0, 1, TRUE), "")</f>
        <v>0.69113135431235784</v>
      </c>
      <c r="G8" s="99">
        <f>IFERROR(1-_xlfn.NORM.DIST(_xlfn.NORM.INV(SUM(G10:G11), 0, 1) + 1, 0, 1, TRUE), "")</f>
        <v>0.75698345933007127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0.2375002167750096</v>
      </c>
      <c r="D9" s="99">
        <f>IFERROR(_xlfn.NORM.DIST(_xlfn.NORM.INV(SUM(D10:D11), 0, 1) + 1, 0, 1, TRUE) - SUM(D10:D11), "")</f>
        <v>0.2375002167750096</v>
      </c>
      <c r="E9" s="99">
        <f>IFERROR(_xlfn.NORM.DIST(_xlfn.NORM.INV(SUM(E10:E11), 0, 1) + 1, 0, 1, TRUE) - SUM(E10:E11), "")</f>
        <v>0.26912212712267003</v>
      </c>
      <c r="F9" s="99">
        <f>IFERROR(_xlfn.NORM.DIST(_xlfn.NORM.INV(SUM(F10:F11), 0, 1) + 1, 0, 1, TRUE) - SUM(F10:F11), "")</f>
        <v>0.24193957968764224</v>
      </c>
      <c r="G9" s="99">
        <f>IFERROR(_xlfn.NORM.DIST(_xlfn.NORM.INV(SUM(G10:G11), 0, 1) + 1, 0, 1, TRUE) - SUM(G10:G11), "")</f>
        <v>0.19813341916992866</v>
      </c>
    </row>
    <row r="10" spans="1:15" ht="15.75" customHeight="1" x14ac:dyDescent="0.25">
      <c r="B10" s="69" t="s">
        <v>109</v>
      </c>
      <c r="C10" s="39">
        <v>4.1086869000000012E-2</v>
      </c>
      <c r="D10" s="39">
        <v>4.1086869000000012E-2</v>
      </c>
      <c r="E10" s="39">
        <v>7.7459320999999998E-2</v>
      </c>
      <c r="F10" s="39">
        <v>4.8488903E-2</v>
      </c>
      <c r="G10" s="39">
        <v>3.8238834999999999E-2</v>
      </c>
    </row>
    <row r="11" spans="1:15" ht="15.75" customHeight="1" x14ac:dyDescent="0.25">
      <c r="B11" s="69" t="s">
        <v>110</v>
      </c>
      <c r="C11" s="39">
        <v>2.3294997000000001E-2</v>
      </c>
      <c r="D11" s="39">
        <v>2.3294997000000001E-2</v>
      </c>
      <c r="E11" s="39">
        <v>7.0046741000000003E-3</v>
      </c>
      <c r="F11" s="39">
        <v>1.8440162999999999E-2</v>
      </c>
      <c r="G11" s="39">
        <v>6.6442864999999999E-3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0.40415045649999998</v>
      </c>
      <c r="D14" s="40">
        <v>0.37718054182999999</v>
      </c>
      <c r="E14" s="40">
        <v>0.37718054182999999</v>
      </c>
      <c r="F14" s="40">
        <v>0.19508714863900001</v>
      </c>
      <c r="G14" s="40">
        <v>0.19508714863900001</v>
      </c>
      <c r="H14" s="41">
        <v>0.30299999999999999</v>
      </c>
      <c r="I14" s="41">
        <v>0.30299999999999999</v>
      </c>
      <c r="J14" s="41">
        <v>0.30299999999999999</v>
      </c>
      <c r="K14" s="41">
        <v>0.30299999999999999</v>
      </c>
      <c r="L14" s="41">
        <v>0.23799999999999999</v>
      </c>
      <c r="M14" s="41">
        <v>0.23799999999999999</v>
      </c>
      <c r="N14" s="41">
        <v>0.23799999999999999</v>
      </c>
      <c r="O14" s="41">
        <v>0.23799999999999999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0.22212432409605198</v>
      </c>
      <c r="D15" s="99">
        <f t="shared" si="0"/>
        <v>0.20730144323410263</v>
      </c>
      <c r="E15" s="99">
        <f t="shared" si="0"/>
        <v>0.20730144323410263</v>
      </c>
      <c r="F15" s="99">
        <f t="shared" si="0"/>
        <v>0.10722145758918351</v>
      </c>
      <c r="G15" s="99">
        <f t="shared" si="0"/>
        <v>0.10722145758918351</v>
      </c>
      <c r="H15" s="99">
        <f t="shared" si="0"/>
        <v>0.16653122399999998</v>
      </c>
      <c r="I15" s="99">
        <f t="shared" si="0"/>
        <v>0.16653122399999998</v>
      </c>
      <c r="J15" s="99">
        <f t="shared" si="0"/>
        <v>0.16653122399999998</v>
      </c>
      <c r="K15" s="99">
        <f t="shared" si="0"/>
        <v>0.16653122399999998</v>
      </c>
      <c r="L15" s="99">
        <f t="shared" si="0"/>
        <v>0.130806704</v>
      </c>
      <c r="M15" s="99">
        <f t="shared" si="0"/>
        <v>0.130806704</v>
      </c>
      <c r="N15" s="99">
        <f t="shared" si="0"/>
        <v>0.130806704</v>
      </c>
      <c r="O15" s="99">
        <f t="shared" si="0"/>
        <v>0.130806704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2HRKReaaZU/JmppBIByWs50FCSCvXB9dUJ13tle8a8X9CKD4hz3SOp6+eVfmSPZNHc0SEhMjvBd553Y4jBcyWA==" saltValue="J4X0Of4f+wcEJ9bFrd5d0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0.16455739999999999</v>
      </c>
      <c r="D2" s="39">
        <v>7.7588900000000002E-2</v>
      </c>
      <c r="E2" s="39"/>
      <c r="F2" s="39"/>
      <c r="G2" s="39"/>
    </row>
    <row r="3" spans="1:7" x14ac:dyDescent="0.25">
      <c r="B3" s="78" t="s">
        <v>120</v>
      </c>
      <c r="C3" s="39">
        <v>0.2648297</v>
      </c>
      <c r="D3" s="39">
        <v>0.15188209999999999</v>
      </c>
      <c r="E3" s="39"/>
      <c r="F3" s="39"/>
      <c r="G3" s="39"/>
    </row>
    <row r="4" spans="1:7" x14ac:dyDescent="0.25">
      <c r="B4" s="78" t="s">
        <v>121</v>
      </c>
      <c r="C4" s="39">
        <v>0.38233679999999998</v>
      </c>
      <c r="D4" s="39">
        <v>0.4893575</v>
      </c>
      <c r="E4" s="39">
        <v>0.48359873890876798</v>
      </c>
      <c r="F4" s="39">
        <v>0.173986151814461</v>
      </c>
      <c r="G4" s="39"/>
    </row>
    <row r="5" spans="1:7" x14ac:dyDescent="0.25">
      <c r="B5" s="78" t="s">
        <v>122</v>
      </c>
      <c r="C5" s="100">
        <v>0.1882762</v>
      </c>
      <c r="D5" s="100">
        <v>0.28117150000000002</v>
      </c>
      <c r="E5" s="100">
        <f>1-E2-E3-E4</f>
        <v>0.51640126109123208</v>
      </c>
      <c r="F5" s="100">
        <f>1-F2-F3-F4</f>
        <v>0.82601384818553902</v>
      </c>
      <c r="G5" s="100">
        <f>1-G2-G3-G4</f>
        <v>1</v>
      </c>
    </row>
  </sheetData>
  <sheetProtection algorithmName="SHA-512" hashValue="E0lFu8DnBZfXSupDZMMeEpjm25ywkIOpuWEbJe0bOU+2awyZCHbPpfDTgIPGQjqMY+74x1qdpxEK8TgUr4KX3A==" saltValue="6SE4uOdLt9RP273PpDBfWQ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CyV+1biBiVAbQ3Ly4HdRr2jGgdhKR0n6CsavF0/OwEHaMIRfzq05WEh64Rsu08xFnWX9mSVklfWweZ3FA/yiw==" saltValue="2Vbdf1Pg/gRfPA6Tj2Zejg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7D0mBN8J9e4iOlHphCDvkLocGWCi+qMvstyXAiJ/TwuWTqCSncZBfYhcBPTYq/mpS7HXmEpT/Fg6lg1pmHgsKg==" saltValue="P6PgXvkBYHqU82Ry0wxaS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ENgGoaoeZZFZhfYusApS/h17v9ZhtUROsuHdep3EFDoyFEh8+eEsqmd075PiuQ12mVWFSmvTEMdN/TFEoiymBA==" saltValue="xLj3nJngA7mrEL7Su51p7w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jFR9wEPtCWRgN0352G0jz9RDbxlUwZA/YIHZ+8Bn0o0/TOyu+WovStW8qj66o94I126RU0rVLTROQraln3SePQ==" saltValue="AaFln+yxs5EPklVaRDmTu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0.52290927364379902</v>
      </c>
      <c r="C2" s="43">
        <v>0.95</v>
      </c>
      <c r="D2" s="86">
        <v>69.047770440302898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40.127093405065906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587.14420029876032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1.4701821374670201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0.162037549025391</v>
      </c>
      <c r="C10" s="43">
        <v>0.95</v>
      </c>
      <c r="D10" s="86">
        <v>13.25939284886182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0.162037549025391</v>
      </c>
      <c r="C11" s="43">
        <v>0.95</v>
      </c>
      <c r="D11" s="86">
        <v>13.25939284886182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0.162037549025391</v>
      </c>
      <c r="C12" s="43">
        <v>0.95</v>
      </c>
      <c r="D12" s="86">
        <v>13.25939284886182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0.162037549025391</v>
      </c>
      <c r="C13" s="43">
        <v>0.95</v>
      </c>
      <c r="D13" s="86">
        <v>13.25939284886182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0.162037549025391</v>
      </c>
      <c r="C14" s="43">
        <v>0.95</v>
      </c>
      <c r="D14" s="86">
        <v>13.25939284886182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0.162037549025391</v>
      </c>
      <c r="C15" s="43">
        <v>0.95</v>
      </c>
      <c r="D15" s="86">
        <v>13.25939284886182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0.96615864875716684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7.8606899999999993E-2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13.483785833565429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13.483785833565429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0.93173689999999998</v>
      </c>
      <c r="C21" s="43">
        <v>0.95</v>
      </c>
      <c r="D21" s="86">
        <v>17.016109940848349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23.01109674039985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4.4338460403923747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0.2355235218451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0.12637916691357401</v>
      </c>
      <c r="C27" s="43">
        <v>0.95</v>
      </c>
      <c r="D27" s="86">
        <v>18.750061042134512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0.84457583171135597</v>
      </c>
      <c r="C29" s="43">
        <v>0.95</v>
      </c>
      <c r="D29" s="86">
        <v>138.79578001614141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1.831259781706825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5.8989081380000002E-2</v>
      </c>
      <c r="C32" s="43">
        <v>0.95</v>
      </c>
      <c r="D32" s="86">
        <v>2.09991490371478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0.12046129999999999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3.9132363162934806E-3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1.959170672500506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0.78703515497187193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GBFqQ1iF93dEd59wJXA7pcbnXCVpV0RezbRViSZfi/bduF6KA5Dd9rCXSXyKq7O8MdVBMMat/LGYPQqJRLRvww==" saltValue="urH8ZbYbNH6KtG9hK5BoR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TsMTEjhQfsDbwsiN2V+FBa4JMAXczw+QDtstVKRV4SDzGYsfvINP0HeeyWi6mulLny3Nl6q79FdNypIwLaBXjg==" saltValue="Yw40EVFeXNYoZBE+C5fnYA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t0CyKfEx1I874FzE9dsSxBS3LQMZrT9nU6A72sZRprGCfdri1/dbgM35oJr4+2q16z6w3OHbR3il2pah1Sl+Ew==" saltValue="j/CnLEAB8t4G00F9av2H6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3.2</v>
      </c>
      <c r="C2" s="13">
        <f>'Données pop de l''année de ref'!C52</f>
        <v>3.2</v>
      </c>
      <c r="D2" s="13">
        <f>'Données pop de l''année de ref'!C53</f>
        <v>3.2</v>
      </c>
      <c r="E2" s="13">
        <f>'Données pop de l''année de ref'!C54</f>
        <v>3.2</v>
      </c>
      <c r="F2" s="13">
        <f>'Données pop de l''année de ref'!C55</f>
        <v>3.2</v>
      </c>
    </row>
    <row r="3" spans="1:6" ht="15.75" customHeight="1" x14ac:dyDescent="0.25">
      <c r="A3" s="78" t="s">
        <v>203</v>
      </c>
      <c r="B3" s="13">
        <f>frac_mam_1month * 2.6</f>
        <v>0.10682585940000003</v>
      </c>
      <c r="C3" s="13">
        <f>frac_mam_1_5months * 2.6</f>
        <v>0.10682585940000003</v>
      </c>
      <c r="D3" s="13">
        <f>frac_mam_6_11months * 2.6</f>
        <v>0.2013942346</v>
      </c>
      <c r="E3" s="13">
        <f>frac_mam_12_23months * 2.6</f>
        <v>0.12607114780000001</v>
      </c>
      <c r="F3" s="13">
        <f>frac_mam_24_59months * 2.6</f>
        <v>9.9420970999999997E-2</v>
      </c>
    </row>
    <row r="4" spans="1:6" ht="15.75" customHeight="1" x14ac:dyDescent="0.25">
      <c r="A4" s="78" t="s">
        <v>204</v>
      </c>
      <c r="B4" s="13">
        <f>frac_sam_1month * 2.6</f>
        <v>6.0566992200000003E-2</v>
      </c>
      <c r="C4" s="13">
        <f>frac_sam_1_5months * 2.6</f>
        <v>6.0566992200000003E-2</v>
      </c>
      <c r="D4" s="13">
        <f>frac_sam_6_11months * 2.6</f>
        <v>1.8212152660000001E-2</v>
      </c>
      <c r="E4" s="13">
        <f>frac_sam_12_23months * 2.6</f>
        <v>4.7944423799999997E-2</v>
      </c>
      <c r="F4" s="13">
        <f>frac_sam_24_59months * 2.6</f>
        <v>1.7275144900000001E-2</v>
      </c>
    </row>
  </sheetData>
  <sheetProtection algorithmName="SHA-512" hashValue="2cFkuka0oEeAi9H2OF1nLhHVawyD85c93XXPAC1Bg80GTVoFZpnkIF/09//41z/qu0tGgbxRDPZDegQQRN10SA==" saltValue="tiLNytLFgmF4TnAeaeFqx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0.23400000000000001</v>
      </c>
      <c r="E2" s="47">
        <f>food_insecure</f>
        <v>0.23400000000000001</v>
      </c>
      <c r="F2" s="47">
        <f>food_insecure</f>
        <v>0.23400000000000001</v>
      </c>
      <c r="G2" s="47">
        <f>food_insecure</f>
        <v>0.23400000000000001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0.23400000000000001</v>
      </c>
      <c r="F5" s="47">
        <f>food_insecure</f>
        <v>0.23400000000000001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6.2E-2</v>
      </c>
      <c r="D7" s="47">
        <f>diarrhoea_1_5mo*frac_diarrhea_severe</f>
        <v>6.2E-2</v>
      </c>
      <c r="E7" s="47">
        <f>diarrhoea_6_11mo*frac_diarrhea_severe</f>
        <v>6.2E-2</v>
      </c>
      <c r="F7" s="47">
        <f>diarrhoea_12_23mo*frac_diarrhea_severe</f>
        <v>6.2E-2</v>
      </c>
      <c r="G7" s="47">
        <f>diarrhoea_24_59mo*frac_diarrhea_severe</f>
        <v>6.2E-2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0.23400000000000001</v>
      </c>
      <c r="F8" s="47">
        <f>food_insecure</f>
        <v>0.23400000000000001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0.23400000000000001</v>
      </c>
      <c r="F9" s="47">
        <f>food_insecure</f>
        <v>0.23400000000000001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0.75800000000000001</v>
      </c>
      <c r="E10" s="47">
        <f>IF(ISBLANK(comm_deliv), frac_children_health_facility,1)</f>
        <v>0.75800000000000001</v>
      </c>
      <c r="F10" s="47">
        <f>IF(ISBLANK(comm_deliv), frac_children_health_facility,1)</f>
        <v>0.75800000000000001</v>
      </c>
      <c r="G10" s="47">
        <f>IF(ISBLANK(comm_deliv), frac_children_health_facility,1)</f>
        <v>0.75800000000000001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6.2E-2</v>
      </c>
      <c r="D12" s="47">
        <f>diarrhoea_1_5mo*frac_diarrhea_severe</f>
        <v>6.2E-2</v>
      </c>
      <c r="E12" s="47">
        <f>diarrhoea_6_11mo*frac_diarrhea_severe</f>
        <v>6.2E-2</v>
      </c>
      <c r="F12" s="47">
        <f>diarrhoea_12_23mo*frac_diarrhea_severe</f>
        <v>6.2E-2</v>
      </c>
      <c r="G12" s="47">
        <f>diarrhoea_24_59mo*frac_diarrhea_severe</f>
        <v>6.2E-2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0.23400000000000001</v>
      </c>
      <c r="I15" s="47">
        <f>food_insecure</f>
        <v>0.23400000000000001</v>
      </c>
      <c r="J15" s="47">
        <f>food_insecure</f>
        <v>0.23400000000000001</v>
      </c>
      <c r="K15" s="47">
        <f>food_insecure</f>
        <v>0.23400000000000001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0.66799999999999993</v>
      </c>
      <c r="I18" s="47">
        <f>frac_PW_health_facility</f>
        <v>0.66799999999999993</v>
      </c>
      <c r="J18" s="47">
        <f>frac_PW_health_facility</f>
        <v>0.66799999999999993</v>
      </c>
      <c r="K18" s="47">
        <f>frac_PW_health_facility</f>
        <v>0.66799999999999993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0.26800000000000002</v>
      </c>
      <c r="M24" s="47">
        <f>famplan_unmet_need</f>
        <v>0.26800000000000002</v>
      </c>
      <c r="N24" s="47">
        <f>famplan_unmet_need</f>
        <v>0.26800000000000002</v>
      </c>
      <c r="O24" s="47">
        <f>famplan_unmet_need</f>
        <v>0.26800000000000002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0.19021878643188461</v>
      </c>
      <c r="M25" s="47">
        <f>(1-food_insecure)*(0.49)+food_insecure*(0.7)</f>
        <v>0.53913999999999995</v>
      </c>
      <c r="N25" s="47">
        <f>(1-food_insecure)*(0.49)+food_insecure*(0.7)</f>
        <v>0.53913999999999995</v>
      </c>
      <c r="O25" s="47">
        <f>(1-food_insecure)*(0.49)+food_insecure*(0.7)</f>
        <v>0.53913999999999995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8.152233704223627E-2</v>
      </c>
      <c r="M26" s="47">
        <f>(1-food_insecure)*(0.21)+food_insecure*(0.3)</f>
        <v>0.23105999999999999</v>
      </c>
      <c r="N26" s="47">
        <f>(1-food_insecure)*(0.21)+food_insecure*(0.3)</f>
        <v>0.23105999999999999</v>
      </c>
      <c r="O26" s="47">
        <f>(1-food_insecure)*(0.21)+food_insecure*(0.3)</f>
        <v>0.23105999999999999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8.1077785217285092E-2</v>
      </c>
      <c r="M27" s="47">
        <f>(1-food_insecure)*(0.3)</f>
        <v>0.2298</v>
      </c>
      <c r="N27" s="47">
        <f>(1-food_insecure)*(0.3)</f>
        <v>0.2298</v>
      </c>
      <c r="O27" s="47">
        <f>(1-food_insecure)*(0.3)</f>
        <v>0.2298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0.64718109130859403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+bxYXci6bnWo8YDlvguRL8pZC+EpiXWiZQ2y+CXge31/fxdRmZk5MZBv9kTDF1r/wxJTgrtAblgD83BwZ2Du9A==" saltValue="MQwBi5TN/eRjxZV8o0LR8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0PlOxcUVy+LSsKkrUd4raCgz2ElKDw8Mg2k3z+RW5mN0mDxikfsk2jm13Fc7vve7UF4J9LkOVPdRxmgrWvsD5w==" saltValue="1mEBSNNlA2Wx29udY7yn8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85OjQu6BmVrfigLSUaRCwVbeeKO+ykTOFQFhNLUTAEZ5VQlAU1fC3xuefVNrN4PLCvLOmUerIgXbmFK363INHg==" saltValue="4TFXvF/atEdhqT7iaUNb5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ZKnPAUJhScrHU7iPo6k0Cz35vWKfdcryfAs+YenLA2BFdVXrYwJjHbC2rsyP52hFe4Q4h+44PfkXM6Gmf2AFxw==" saltValue="gmECP+wBJoL3RLMgtX6LkA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naYqbKOAbqCxPMk9FgI9KL20NaArNwSlh9KTgQEhwto/TEM+JrApyqClQs0IRVGtE8MC6fBvS1ny5mjVoZUSUQ==" saltValue="lxKrZTvhhSzjOQIrYgeOZ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jOqS/UWFPAMlf9HNSKkYtelE9OwgtQwDhh47HVszWP5YFZab13jcOHr/gFk5YcTAGDlZOu2zUe+5yz4gPqt0zA==" saltValue="o9G99qbtQnn5dXhD5gzw1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6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7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7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6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7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7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6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7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7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6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7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7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6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7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7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6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7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7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6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7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7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6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7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7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6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7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7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6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7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7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6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7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7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6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7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7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6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7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7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6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7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7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6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7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7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6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7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7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6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7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7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6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7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7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6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7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7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6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7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7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6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7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7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6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7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7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6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7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7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6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7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7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6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7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7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6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7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7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6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7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7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6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7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7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6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7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7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6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7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7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6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7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7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6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7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7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6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7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7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6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7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7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6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7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7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6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7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7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6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7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7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6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7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7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6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7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7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6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7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7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6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7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7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6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7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7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6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7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7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6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7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7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6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7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7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b8R9t8jeSI0sLoPGI/Stvvwq+qu6i3DHlmM5/Ej74qWHz397U05KGTaYXTnTsHAAodjArEgW8nmZLfDu5BHyaw==" saltValue="lbdnZHrOUuVjzEfEpwwUXw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okPXMSK+zlzR33u1iDfkRTXBjfA0319xRk+HKYZpJ6xC1oPPPbcYu7isDbzkQI8md6wm4Hn7HLrAjnPaXs+J9Q==" saltValue="ZiQyxpEzGZWnqXlMVX8Pd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6KMYBLEwhLpw1MNfoY9xPW6nyoX/kpzjx3oBSg8yPbMIymYWY2dBmFqMR0PGgJGoaeaSq0tjy7o1T7ivGwJE6A==" saltValue="HxNFxBG7fh/WVQu+PM0E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LSs9ao/O/kpw/pnOZIJ7VH5m9KdpYNLoF9+NnYezk183ILPgjCM286MeKyC3VdP/5OcrXZ9AP/fzyJymdOWp/Q==" saltValue="GFrcYtlgB0yqzW5kumkoVA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HRccPywEXAaxAU11UUv1rDec76QbQMXW2s0qOqmX0dPJUQoIjF9ojnOoOgczPSHgeiC4i8UzZFwetZnn7YzIlg==" saltValue="T3yumRyXKwxPx3xmfS91c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+rjILp76Fk2RvgFGbcRzZ8chd0M7gSq+lbYG+AWwLZFYFTWLHnGS+DBYpngbVqHSRvMvzukkv1YKyW+8XQLpuw==" saltValue="5UeIxArmn83B60Rtq6fk/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GZv9r3KZTV1tDDqz5c5/WiuiuQRej7S6Zu3TFYmMkykc65vD/OaYElSvt9ymKfu22H/u+Y0ngJvryyWFjFUV2Q==" saltValue="sZsUoPUH3wEBYKNfKhOVB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UIpK/0EAR92GfzxR6Dg8WmQkf1Ww91D/dV39Wx6GjZEye+SIEfqRKzwpwFNRz8QTSiCS9AJikBul8LUTfeqUIQ==" saltValue="QuxvPQBHDzI3jEpCxTxzy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lYMDmlT0x9r8DoVYcPzojUiH6/qvzyR3ekqbtIF33CloEtvBWawfBzAVmt4Hj/5ZiM3OYzd2mD+3gVOQqm6gNA==" saltValue="l+hS+N/Z8ccIphk8roYm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2023-01-25T00:45:17Z</dcterms:modified>
</cp:coreProperties>
</file>