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C18CFFD-A1C2-4DF0-8BF0-C1B05975BA4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<sst xmlns="http://schemas.openxmlformats.org/spreadsheetml/2006/main" count="2093" uniqueCount="337">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</sst>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1383242.140625</v>
      </c>
    </row>
    <row r="8" spans="1:3" ht="15" customHeight="1" x14ac:dyDescent="0.25">
      <c r="B8" s="69" t="s">
        <v>8</v>
      </c>
      <c r="C8" s="32">
        <v>4.8000000000000001E-2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0.78182266235351605</v>
      </c>
    </row>
    <row r="11" spans="1:3" ht="15" customHeight="1" x14ac:dyDescent="0.25">
      <c r="B11" s="69" t="s">
        <v>11</v>
      </c>
      <c r="C11" s="32">
        <v>0.52500000000000002</v>
      </c>
    </row>
    <row r="12" spans="1:3" ht="15" customHeight="1" x14ac:dyDescent="0.25">
      <c r="B12" s="69" t="s">
        <v>12</v>
      </c>
      <c r="C12" s="32">
        <v>0.63</v>
      </c>
    </row>
    <row r="13" spans="1:3" ht="15" customHeight="1" x14ac:dyDescent="0.25">
      <c r="B13" s="69" t="s">
        <v>13</v>
      </c>
      <c r="C13" s="32">
        <v>0.49199999999999999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8.7300000000000003E-2</v>
      </c>
    </row>
    <row r="24" spans="1:3" ht="15" customHeight="1" x14ac:dyDescent="0.25">
      <c r="B24" s="7" t="s">
        <v>22</v>
      </c>
      <c r="C24" s="33">
        <v>0.59660000000000002</v>
      </c>
    </row>
    <row r="25" spans="1:3" ht="15" customHeight="1" x14ac:dyDescent="0.25">
      <c r="B25" s="7" t="s">
        <v>23</v>
      </c>
      <c r="C25" s="33">
        <v>0.28710000000000002</v>
      </c>
    </row>
    <row r="26" spans="1:3" ht="15" customHeight="1" x14ac:dyDescent="0.25">
      <c r="B26" s="7" t="s">
        <v>24</v>
      </c>
      <c r="C26" s="33">
        <v>2.9000000000000001E-2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0.33727035429844798</v>
      </c>
    </row>
    <row r="30" spans="1:3" ht="14.25" customHeight="1" x14ac:dyDescent="0.25">
      <c r="B30" s="15" t="s">
        <v>27</v>
      </c>
      <c r="C30" s="42">
        <v>9.5877726663146298E-2</v>
      </c>
    </row>
    <row r="31" spans="1:3" ht="14.25" customHeight="1" x14ac:dyDescent="0.25">
      <c r="B31" s="15" t="s">
        <v>28</v>
      </c>
      <c r="C31" s="42">
        <v>0.123358051747242</v>
      </c>
    </row>
    <row r="32" spans="1:3" ht="14.25" customHeight="1" x14ac:dyDescent="0.25">
      <c r="B32" s="15" t="s">
        <v>29</v>
      </c>
      <c r="C32" s="42">
        <v>0.44349386729116302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14.9776786571542</v>
      </c>
    </row>
    <row r="38" spans="1:5" ht="15" customHeight="1" x14ac:dyDescent="0.25">
      <c r="B38" s="65" t="s">
        <v>34</v>
      </c>
      <c r="C38" s="94">
        <v>29.595545480470999</v>
      </c>
      <c r="D38" s="5"/>
      <c r="E38" s="6"/>
    </row>
    <row r="39" spans="1:5" ht="15" customHeight="1" x14ac:dyDescent="0.25">
      <c r="B39" s="65" t="s">
        <v>35</v>
      </c>
      <c r="C39" s="94">
        <v>33.775817766857301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9.0190807839999998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2.3805799999999998E-2</v>
      </c>
      <c r="D45" s="5"/>
    </row>
    <row r="46" spans="1:5" ht="15.75" customHeight="1" x14ac:dyDescent="0.25">
      <c r="B46" s="65" t="s">
        <v>41</v>
      </c>
      <c r="C46" s="33">
        <v>8.3174700000000004E-2</v>
      </c>
      <c r="D46" s="5"/>
    </row>
    <row r="47" spans="1:5" ht="15.75" customHeight="1" x14ac:dyDescent="0.25">
      <c r="B47" s="65" t="s">
        <v>42</v>
      </c>
      <c r="C47" s="33">
        <v>0.1465214</v>
      </c>
      <c r="D47" s="5"/>
      <c r="E47" s="6"/>
    </row>
    <row r="48" spans="1:5" ht="15" customHeight="1" x14ac:dyDescent="0.25">
      <c r="B48" s="65" t="s">
        <v>43</v>
      </c>
      <c r="C48" s="97">
        <v>0.74649810000000005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0.58725400000000005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5.6252946999999998E-2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0.50091427670642796</v>
      </c>
      <c r="C2" s="43">
        <v>0.95</v>
      </c>
      <c r="D2" s="86">
        <v>36.673102552348467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44.676188346342542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79.584386436751942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2.2502589665866322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0.155221805694397</v>
      </c>
      <c r="C10" s="43">
        <v>0.95</v>
      </c>
      <c r="D10" s="86">
        <v>14.201250215462901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0.155221805694397</v>
      </c>
      <c r="C11" s="43">
        <v>0.95</v>
      </c>
      <c r="D11" s="86">
        <v>14.201250215462901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0.155221805694397</v>
      </c>
      <c r="C12" s="43">
        <v>0.95</v>
      </c>
      <c r="D12" s="86">
        <v>14.201250215462901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0.155221805694397</v>
      </c>
      <c r="C13" s="43">
        <v>0.95</v>
      </c>
      <c r="D13" s="86">
        <v>14.201250215462901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0.155221805694397</v>
      </c>
      <c r="C14" s="43">
        <v>0.95</v>
      </c>
      <c r="D14" s="86">
        <v>14.201250215462901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0.155221805694397</v>
      </c>
      <c r="C15" s="43">
        <v>0.95</v>
      </c>
      <c r="D15" s="86">
        <v>14.201250215462901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0.25753549775160939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1.935478791236098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1.935478791236098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0.88158860000000006</v>
      </c>
      <c r="C21" s="43">
        <v>0.95</v>
      </c>
      <c r="D21" s="86">
        <v>21.219202862704289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24.214287028601191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4.6661477823845638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0.22284708471940001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0.121063312846115</v>
      </c>
      <c r="C27" s="43">
        <v>0.95</v>
      </c>
      <c r="D27" s="86">
        <v>20.50942560811496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0.97023062222068901</v>
      </c>
      <c r="C29" s="43">
        <v>0.95</v>
      </c>
      <c r="D29" s="86">
        <v>64.905462330614313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1.9667472266035491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2.7E-2</v>
      </c>
      <c r="C32" s="43">
        <v>0.95</v>
      </c>
      <c r="D32" s="86">
        <v>0.49558496612235631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0.52023419999999998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1.9676510000000001E-2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5.1747000000000002E-4</v>
      </c>
      <c r="C38" s="43">
        <v>0.95</v>
      </c>
      <c r="D38" s="86">
        <v>3.0501808176615341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0.64306739752861608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0.20904423594474783</v>
      </c>
      <c r="C3" s="13">
        <f>frac_mam_1_5months * 2.6</f>
        <v>0.20904423594474783</v>
      </c>
      <c r="D3" s="13">
        <f>frac_mam_6_11months * 2.6</f>
        <v>0.17423148304224026</v>
      </c>
      <c r="E3" s="13">
        <f>frac_mam_12_23months * 2.6</f>
        <v>0.12817232906818393</v>
      </c>
      <c r="F3" s="13">
        <f>frac_mam_24_59months * 2.6</f>
        <v>5.2471835538744967E-2</v>
      </c>
    </row>
    <row r="4" spans="1:6" ht="15.75" customHeight="1" x14ac:dyDescent="0.25">
      <c r="A4" s="78" t="s">
        <v>204</v>
      </c>
      <c r="B4" s="13">
        <f>frac_sam_1month * 2.6</f>
        <v>0.14692764058709151</v>
      </c>
      <c r="C4" s="13">
        <f>frac_sam_1_5months * 2.6</f>
        <v>0.14692764058709151</v>
      </c>
      <c r="D4" s="13">
        <f>frac_sam_6_11months * 2.6</f>
        <v>8.2562429457902944E-2</v>
      </c>
      <c r="E4" s="13">
        <f>frac_sam_12_23months * 2.6</f>
        <v>5.3229949250817303E-2</v>
      </c>
      <c r="F4" s="13">
        <f>frac_sam_24_59months * 2.6</f>
        <v>2.2506040148437042E-2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4.8000000000000001E-2</v>
      </c>
      <c r="E2" s="47">
        <f>food_insecure</f>
        <v>4.8000000000000001E-2</v>
      </c>
      <c r="F2" s="47">
        <f>food_insecure</f>
        <v>4.8000000000000001E-2</v>
      </c>
      <c r="G2" s="47">
        <f>food_insecure</f>
        <v>4.8000000000000001E-2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4.8000000000000001E-2</v>
      </c>
      <c r="F5" s="47">
        <f>food_insecure</f>
        <v>4.8000000000000001E-2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4.8000000000000001E-2</v>
      </c>
      <c r="F8" s="47">
        <f>food_insecure</f>
        <v>4.8000000000000001E-2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4.8000000000000001E-2</v>
      </c>
      <c r="F9" s="47">
        <f>food_insecure</f>
        <v>4.8000000000000001E-2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</v>
      </c>
      <c r="E10" s="47">
        <f>IF(ISBLANK(comm_deliv), frac_children_health_facility,1)</f>
        <v>0.63</v>
      </c>
      <c r="F10" s="47">
        <f>IF(ISBLANK(comm_deliv), frac_children_health_facility,1)</f>
        <v>0.63</v>
      </c>
      <c r="G10" s="47">
        <f>IF(ISBLANK(comm_deliv), frac_children_health_facility,1)</f>
        <v>0.63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4.8000000000000001E-2</v>
      </c>
      <c r="I15" s="47">
        <f>food_insecure</f>
        <v>4.8000000000000001E-2</v>
      </c>
      <c r="J15" s="47">
        <f>food_insecure</f>
        <v>4.8000000000000001E-2</v>
      </c>
      <c r="K15" s="47">
        <f>food_insecure</f>
        <v>4.8000000000000001E-2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0.52500000000000002</v>
      </c>
      <c r="I18" s="47">
        <f>frac_PW_health_facility</f>
        <v>0.52500000000000002</v>
      </c>
      <c r="J18" s="47">
        <f>frac_PW_health_facility</f>
        <v>0.52500000000000002</v>
      </c>
      <c r="K18" s="47">
        <f>frac_PW_health_facility</f>
        <v>0.52500000000000002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0.49199999999999999</v>
      </c>
      <c r="M24" s="47">
        <f>famplan_unmet_need</f>
        <v>0.49199999999999999</v>
      </c>
      <c r="N24" s="47">
        <f>famplan_unmet_need</f>
        <v>0.49199999999999999</v>
      </c>
      <c r="O24" s="47">
        <f>famplan_unmet_need</f>
        <v>0.49199999999999999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0.10910612301025369</v>
      </c>
      <c r="M25" s="47">
        <f>(1-food_insecure)*(0.49)+food_insecure*(0.7)</f>
        <v>0.50007999999999997</v>
      </c>
      <c r="N25" s="47">
        <f>(1-food_insecure)*(0.49)+food_insecure*(0.7)</f>
        <v>0.50007999999999997</v>
      </c>
      <c r="O25" s="47">
        <f>(1-food_insecure)*(0.49)+food_insecure*(0.7)</f>
        <v>0.50007999999999997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4.6759767004394437E-2</v>
      </c>
      <c r="M26" s="47">
        <f>(1-food_insecure)*(0.21)+food_insecure*(0.3)</f>
        <v>0.21431999999999998</v>
      </c>
      <c r="N26" s="47">
        <f>(1-food_insecure)*(0.21)+food_insecure*(0.3)</f>
        <v>0.21431999999999998</v>
      </c>
      <c r="O26" s="47">
        <f>(1-food_insecure)*(0.21)+food_insecure*(0.3)</f>
        <v>0.21431999999999998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6.2311447631835805E-2</v>
      </c>
      <c r="M27" s="47">
        <f>(1-food_insecure)*(0.3)</f>
        <v>0.28559999999999997</v>
      </c>
      <c r="N27" s="47">
        <f>(1-food_insecure)*(0.3)</f>
        <v>0.28559999999999997</v>
      </c>
      <c r="O27" s="47">
        <f>(1-food_insecure)*(0.3)</f>
        <v>0.28559999999999997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0.78182266235351605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249480.8694</v>
      </c>
      <c r="C2" s="37">
        <v>412000</v>
      </c>
      <c r="D2" s="37">
        <v>819000</v>
      </c>
      <c r="E2" s="37">
        <v>3869000</v>
      </c>
      <c r="F2" s="37">
        <v>2592000</v>
      </c>
      <c r="G2" s="9">
        <f t="shared" ref="G2:G40" si="0">C2+D2+E2+F2</f>
        <v>7692000</v>
      </c>
      <c r="H2" s="9">
        <f t="shared" ref="H2:H40" si="1">(B2 + stillbirth*B2/(1000-stillbirth))/(1-abortion)</f>
        <v>286081.17720251676</v>
      </c>
      <c r="I2" s="9">
        <f t="shared" ref="I2:I40" si="2">G2-H2</f>
        <v>7405918.8227974828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248372.77040000001</v>
      </c>
      <c r="C3" s="37">
        <v>425000</v>
      </c>
      <c r="D3" s="37">
        <v>813000</v>
      </c>
      <c r="E3" s="37">
        <v>3990000</v>
      </c>
      <c r="F3" s="37">
        <v>2701000</v>
      </c>
      <c r="G3" s="9">
        <f t="shared" si="0"/>
        <v>7929000</v>
      </c>
      <c r="H3" s="9">
        <f t="shared" si="1"/>
        <v>284810.51357552473</v>
      </c>
      <c r="I3" s="9">
        <f t="shared" si="2"/>
        <v>7644189.486424475</v>
      </c>
    </row>
    <row r="4" spans="1:9" ht="15.75" customHeight="1" x14ac:dyDescent="0.25">
      <c r="A4" s="69">
        <f t="shared" si="3"/>
        <v>2023</v>
      </c>
      <c r="B4" s="36">
        <v>247006.6918</v>
      </c>
      <c r="C4" s="37">
        <v>441000</v>
      </c>
      <c r="D4" s="37">
        <v>807000</v>
      </c>
      <c r="E4" s="37">
        <v>4113000</v>
      </c>
      <c r="F4" s="37">
        <v>2812000</v>
      </c>
      <c r="G4" s="9">
        <f t="shared" si="0"/>
        <v>8173000</v>
      </c>
      <c r="H4" s="9">
        <f t="shared" si="1"/>
        <v>283244.02322707011</v>
      </c>
      <c r="I4" s="9">
        <f t="shared" si="2"/>
        <v>7889755.9767729295</v>
      </c>
    </row>
    <row r="5" spans="1:9" ht="15.75" customHeight="1" x14ac:dyDescent="0.25">
      <c r="A5" s="69">
        <f t="shared" si="3"/>
        <v>2024</v>
      </c>
      <c r="B5" s="36">
        <v>245386.13040000011</v>
      </c>
      <c r="C5" s="37">
        <v>459000</v>
      </c>
      <c r="D5" s="37">
        <v>803000</v>
      </c>
      <c r="E5" s="37">
        <v>4235000</v>
      </c>
      <c r="F5" s="37">
        <v>2923000</v>
      </c>
      <c r="G5" s="9">
        <f t="shared" si="0"/>
        <v>8420000</v>
      </c>
      <c r="H5" s="9">
        <f t="shared" si="1"/>
        <v>281385.7159582366</v>
      </c>
      <c r="I5" s="9">
        <f t="shared" si="2"/>
        <v>8138614.2840417633</v>
      </c>
    </row>
    <row r="6" spans="1:9" ht="15.75" customHeight="1" x14ac:dyDescent="0.25">
      <c r="A6" s="69">
        <f t="shared" si="3"/>
        <v>2025</v>
      </c>
      <c r="B6" s="36">
        <v>243491.08</v>
      </c>
      <c r="C6" s="37">
        <v>477000</v>
      </c>
      <c r="D6" s="37">
        <v>802000</v>
      </c>
      <c r="E6" s="37">
        <v>4357000</v>
      </c>
      <c r="F6" s="37">
        <v>3034000</v>
      </c>
      <c r="G6" s="9">
        <f t="shared" si="0"/>
        <v>8670000</v>
      </c>
      <c r="H6" s="9">
        <f t="shared" si="1"/>
        <v>279212.65054206271</v>
      </c>
      <c r="I6" s="9">
        <f t="shared" si="2"/>
        <v>8390787.3494579382</v>
      </c>
    </row>
    <row r="7" spans="1:9" ht="15.75" customHeight="1" x14ac:dyDescent="0.25">
      <c r="A7" s="69">
        <f t="shared" si="3"/>
        <v>2026</v>
      </c>
      <c r="B7" s="36">
        <v>243655.77600000001</v>
      </c>
      <c r="C7" s="37">
        <v>494000</v>
      </c>
      <c r="D7" s="37">
        <v>805000</v>
      </c>
      <c r="E7" s="37">
        <v>4477000</v>
      </c>
      <c r="F7" s="37">
        <v>3145000</v>
      </c>
      <c r="G7" s="9">
        <f t="shared" si="0"/>
        <v>8921000</v>
      </c>
      <c r="H7" s="9">
        <f t="shared" si="1"/>
        <v>279401.50841190206</v>
      </c>
      <c r="I7" s="9">
        <f t="shared" si="2"/>
        <v>8641598.4915880971</v>
      </c>
    </row>
    <row r="8" spans="1:9" ht="15.75" customHeight="1" x14ac:dyDescent="0.25">
      <c r="A8" s="69">
        <f t="shared" si="3"/>
        <v>2027</v>
      </c>
      <c r="B8" s="36">
        <v>243651.2292</v>
      </c>
      <c r="C8" s="37">
        <v>512000</v>
      </c>
      <c r="D8" s="37">
        <v>811000</v>
      </c>
      <c r="E8" s="37">
        <v>4598000</v>
      </c>
      <c r="F8" s="37">
        <v>3255000</v>
      </c>
      <c r="G8" s="9">
        <f t="shared" si="0"/>
        <v>9176000</v>
      </c>
      <c r="H8" s="9">
        <f t="shared" si="1"/>
        <v>279396.29456965579</v>
      </c>
      <c r="I8" s="9">
        <f t="shared" si="2"/>
        <v>8896603.7054303437</v>
      </c>
    </row>
    <row r="9" spans="1:9" ht="15.75" customHeight="1" x14ac:dyDescent="0.25">
      <c r="A9" s="69">
        <f t="shared" si="3"/>
        <v>2028</v>
      </c>
      <c r="B9" s="36">
        <v>243479.62239999991</v>
      </c>
      <c r="C9" s="37">
        <v>529000</v>
      </c>
      <c r="D9" s="37">
        <v>820000</v>
      </c>
      <c r="E9" s="37">
        <v>4722000</v>
      </c>
      <c r="F9" s="37">
        <v>3367000</v>
      </c>
      <c r="G9" s="9">
        <f t="shared" si="0"/>
        <v>9438000</v>
      </c>
      <c r="H9" s="9">
        <f t="shared" si="1"/>
        <v>279199.51204489527</v>
      </c>
      <c r="I9" s="9">
        <f t="shared" si="2"/>
        <v>9158800.4879551046</v>
      </c>
    </row>
    <row r="10" spans="1:9" ht="15.75" customHeight="1" x14ac:dyDescent="0.25">
      <c r="A10" s="69">
        <f t="shared" si="3"/>
        <v>2029</v>
      </c>
      <c r="B10" s="36">
        <v>243165.1862</v>
      </c>
      <c r="C10" s="37">
        <v>544000</v>
      </c>
      <c r="D10" s="37">
        <v>835000</v>
      </c>
      <c r="E10" s="37">
        <v>4857000</v>
      </c>
      <c r="F10" s="37">
        <v>3480000</v>
      </c>
      <c r="G10" s="9">
        <f t="shared" si="0"/>
        <v>9716000</v>
      </c>
      <c r="H10" s="9">
        <f t="shared" si="1"/>
        <v>278838.94620885584</v>
      </c>
      <c r="I10" s="9">
        <f t="shared" si="2"/>
        <v>9437161.0537911449</v>
      </c>
    </row>
    <row r="11" spans="1:9" ht="15.75" customHeight="1" x14ac:dyDescent="0.25">
      <c r="A11" s="69">
        <f t="shared" si="3"/>
        <v>2030</v>
      </c>
      <c r="B11" s="36">
        <v>242730.696</v>
      </c>
      <c r="C11" s="37">
        <v>556000</v>
      </c>
      <c r="D11" s="37">
        <v>855000</v>
      </c>
      <c r="E11" s="37">
        <v>5006000</v>
      </c>
      <c r="F11" s="37">
        <v>3596000</v>
      </c>
      <c r="G11" s="9">
        <f t="shared" si="0"/>
        <v>10013000</v>
      </c>
      <c r="H11" s="9">
        <f t="shared" si="1"/>
        <v>278340.71374639129</v>
      </c>
      <c r="I11" s="9">
        <f t="shared" si="2"/>
        <v>9734659.2862536088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2958501.1426230553</v>
      </c>
      <c r="I12" s="9">
        <f t="shared" si="2"/>
        <v>15625167.857376944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3015836.4360847427</v>
      </c>
      <c r="I13" s="9">
        <f t="shared" si="2"/>
        <v>16158743.563915256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3084638.7882387671</v>
      </c>
      <c r="I14" s="9">
        <f t="shared" si="2"/>
        <v>16691617.211761232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3141974.0817004545</v>
      </c>
      <c r="I15" s="9">
        <f t="shared" si="2"/>
        <v>17244753.918299545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4.0233655536580492E-3</v>
      </c>
    </row>
    <row r="4" spans="1:8" ht="15.75" customHeight="1" x14ac:dyDescent="0.25">
      <c r="B4" s="11" t="s">
        <v>69</v>
      </c>
      <c r="C4" s="38">
        <v>0.1228700268072636</v>
      </c>
    </row>
    <row r="5" spans="1:8" ht="15.75" customHeight="1" x14ac:dyDescent="0.25">
      <c r="B5" s="11" t="s">
        <v>70</v>
      </c>
      <c r="C5" s="38">
        <v>6.0952016095778279E-2</v>
      </c>
    </row>
    <row r="6" spans="1:8" ht="15.75" customHeight="1" x14ac:dyDescent="0.25">
      <c r="B6" s="11" t="s">
        <v>71</v>
      </c>
      <c r="C6" s="38">
        <v>0.25052948415539211</v>
      </c>
    </row>
    <row r="7" spans="1:8" ht="15.75" customHeight="1" x14ac:dyDescent="0.25">
      <c r="B7" s="11" t="s">
        <v>72</v>
      </c>
      <c r="C7" s="38">
        <v>0.3156167743772183</v>
      </c>
    </row>
    <row r="8" spans="1:8" ht="15.75" customHeight="1" x14ac:dyDescent="0.25">
      <c r="B8" s="11" t="s">
        <v>73</v>
      </c>
      <c r="C8" s="38">
        <v>4.6299750366725926E-3</v>
      </c>
    </row>
    <row r="9" spans="1:8" ht="15.75" customHeight="1" x14ac:dyDescent="0.25">
      <c r="B9" s="11" t="s">
        <v>74</v>
      </c>
      <c r="C9" s="38">
        <v>0.14275968635991829</v>
      </c>
    </row>
    <row r="10" spans="1:8" ht="15.75" customHeight="1" x14ac:dyDescent="0.25">
      <c r="B10" s="11" t="s">
        <v>75</v>
      </c>
      <c r="C10" s="38">
        <v>9.8618671614099027E-2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0.1220959186177451</v>
      </c>
      <c r="D14" s="38">
        <v>0.1220959186177451</v>
      </c>
      <c r="E14" s="38">
        <v>0.1220959186177451</v>
      </c>
      <c r="F14" s="38">
        <v>0.1220959186177451</v>
      </c>
    </row>
    <row r="15" spans="1:8" ht="15.75" customHeight="1" x14ac:dyDescent="0.25">
      <c r="B15" s="11" t="s">
        <v>82</v>
      </c>
      <c r="C15" s="38">
        <v>0.27917356568350132</v>
      </c>
      <c r="D15" s="38">
        <v>0.27917356568350132</v>
      </c>
      <c r="E15" s="38">
        <v>0.27917356568350132</v>
      </c>
      <c r="F15" s="38">
        <v>0.27917356568350132</v>
      </c>
    </row>
    <row r="16" spans="1:8" ht="15.75" customHeight="1" x14ac:dyDescent="0.25">
      <c r="B16" s="11" t="s">
        <v>83</v>
      </c>
      <c r="C16" s="38">
        <v>3.7155477328350443E-2</v>
      </c>
      <c r="D16" s="38">
        <v>3.7155477328350443E-2</v>
      </c>
      <c r="E16" s="38">
        <v>3.7155477328350443E-2</v>
      </c>
      <c r="F16" s="38">
        <v>3.7155477328350443E-2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7.2227909661250651E-3</v>
      </c>
      <c r="D19" s="38">
        <v>7.2227909661250651E-3</v>
      </c>
      <c r="E19" s="38">
        <v>7.2227909661250651E-3</v>
      </c>
      <c r="F19" s="38">
        <v>7.2227909661250651E-3</v>
      </c>
    </row>
    <row r="20" spans="1:8" ht="15.75" customHeight="1" x14ac:dyDescent="0.25">
      <c r="B20" s="11" t="s">
        <v>87</v>
      </c>
      <c r="C20" s="38">
        <v>1.0670869510367661E-2</v>
      </c>
      <c r="D20" s="38">
        <v>1.0670869510367661E-2</v>
      </c>
      <c r="E20" s="38">
        <v>1.0670869510367661E-2</v>
      </c>
      <c r="F20" s="38">
        <v>1.0670869510367661E-2</v>
      </c>
    </row>
    <row r="21" spans="1:8" ht="15.75" customHeight="1" x14ac:dyDescent="0.25">
      <c r="B21" s="11" t="s">
        <v>88</v>
      </c>
      <c r="C21" s="38">
        <v>0.13531853152542331</v>
      </c>
      <c r="D21" s="38">
        <v>0.13531853152542331</v>
      </c>
      <c r="E21" s="38">
        <v>0.13531853152542331</v>
      </c>
      <c r="F21" s="38">
        <v>0.13531853152542331</v>
      </c>
    </row>
    <row r="22" spans="1:8" ht="15.75" customHeight="1" x14ac:dyDescent="0.25">
      <c r="B22" s="11" t="s">
        <v>89</v>
      </c>
      <c r="C22" s="38">
        <v>0.40836284636848741</v>
      </c>
      <c r="D22" s="38">
        <v>0.40836284636848741</v>
      </c>
      <c r="E22" s="38">
        <v>0.40836284636848741</v>
      </c>
      <c r="F22" s="38">
        <v>0.40836284636848741</v>
      </c>
    </row>
    <row r="23" spans="1:8" ht="15.75" customHeight="1" x14ac:dyDescent="0.25">
      <c r="B23" s="16" t="s">
        <v>30</v>
      </c>
      <c r="C23" s="98">
        <f>SUM(C14:C22)</f>
        <v>1.0000000000000004</v>
      </c>
      <c r="D23" s="98">
        <f>SUM(D14:D22)</f>
        <v>1.0000000000000004</v>
      </c>
      <c r="E23" s="98">
        <f>SUM(E14:E22)</f>
        <v>1.0000000000000004</v>
      </c>
      <c r="F23" s="98">
        <f>SUM(F14:F22)</f>
        <v>1.0000000000000004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5.4573182999999997E-2</v>
      </c>
    </row>
    <row r="27" spans="1:8" ht="15.75" customHeight="1" x14ac:dyDescent="0.25">
      <c r="B27" s="11" t="s">
        <v>92</v>
      </c>
      <c r="C27" s="38">
        <v>5.9409878999999999E-2</v>
      </c>
    </row>
    <row r="28" spans="1:8" ht="15.75" customHeight="1" x14ac:dyDescent="0.25">
      <c r="B28" s="11" t="s">
        <v>93</v>
      </c>
      <c r="C28" s="38">
        <v>0.12098242100000001</v>
      </c>
    </row>
    <row r="29" spans="1:8" ht="15.75" customHeight="1" x14ac:dyDescent="0.25">
      <c r="B29" s="11" t="s">
        <v>94</v>
      </c>
      <c r="C29" s="38">
        <v>0.13495797500000001</v>
      </c>
    </row>
    <row r="30" spans="1:8" ht="15.75" customHeight="1" x14ac:dyDescent="0.25">
      <c r="B30" s="11" t="s">
        <v>95</v>
      </c>
      <c r="C30" s="38">
        <v>8.1454253000000018E-2</v>
      </c>
    </row>
    <row r="31" spans="1:8" ht="15.75" customHeight="1" x14ac:dyDescent="0.25">
      <c r="B31" s="11" t="s">
        <v>96</v>
      </c>
      <c r="C31" s="38">
        <v>6.5903797E-2</v>
      </c>
    </row>
    <row r="32" spans="1:8" ht="15.75" customHeight="1" x14ac:dyDescent="0.25">
      <c r="B32" s="11" t="s">
        <v>97</v>
      </c>
      <c r="C32" s="38">
        <v>0.13216685</v>
      </c>
    </row>
    <row r="33" spans="2:3" ht="15.75" customHeight="1" x14ac:dyDescent="0.25">
      <c r="B33" s="11" t="s">
        <v>98</v>
      </c>
      <c r="C33" s="38">
        <v>0.12743632599999999</v>
      </c>
    </row>
    <row r="34" spans="2:3" ht="15.75" customHeight="1" x14ac:dyDescent="0.25">
      <c r="B34" s="11" t="s">
        <v>99</v>
      </c>
      <c r="C34" s="38">
        <v>0.22311531600000001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0.69318355379502083</v>
      </c>
      <c r="D2" s="99">
        <f>IFERROR(1-_xlfn.NORM.DIST(_xlfn.NORM.INV(SUM(D4:D5), 0, 1) + 1, 0, 1, TRUE), "")</f>
        <v>0.69318355379502083</v>
      </c>
      <c r="E2" s="99">
        <f>IFERROR(1-_xlfn.NORM.DIST(_xlfn.NORM.INV(SUM(E4:E5), 0, 1) + 1, 0, 1, TRUE), "")</f>
        <v>0.68178295667757594</v>
      </c>
      <c r="F2" s="99">
        <f>IFERROR(1-_xlfn.NORM.DIST(_xlfn.NORM.INV(SUM(F4:F5), 0, 1) + 1, 0, 1, TRUE), "")</f>
        <v>0.46800835157642973</v>
      </c>
      <c r="G2" s="99">
        <f>IFERROR(1-_xlfn.NORM.DIST(_xlfn.NORM.INV(SUM(G4:G5), 0, 1) + 1, 0, 1, TRUE), "")</f>
        <v>0.42314657477946294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0.24064085314174383</v>
      </c>
      <c r="D3" s="99">
        <f>IFERROR(_xlfn.NORM.DIST(_xlfn.NORM.INV(SUM(D4:D5), 0, 1) + 1, 0, 1, TRUE) - SUM(D4:D5), "")</f>
        <v>0.24064085314174383</v>
      </c>
      <c r="E3" s="99">
        <f>IFERROR(_xlfn.NORM.DIST(_xlfn.NORM.INV(SUM(E4:E5), 0, 1) + 1, 0, 1, TRUE) - SUM(E4:E5), "")</f>
        <v>0.24779977325807012</v>
      </c>
      <c r="F3" s="99">
        <f>IFERROR(_xlfn.NORM.DIST(_xlfn.NORM.INV(SUM(F4:F5), 0, 1) + 1, 0, 1, TRUE) - SUM(F4:F5), "")</f>
        <v>0.35313280199756047</v>
      </c>
      <c r="G3" s="99">
        <f>IFERROR(_xlfn.NORM.DIST(_xlfn.NORM.INV(SUM(G4:G5), 0, 1) + 1, 0, 1, TRUE) - SUM(G4:G5), "")</f>
        <v>0.36677517460374814</v>
      </c>
    </row>
    <row r="4" spans="1:15" ht="15.75" customHeight="1" x14ac:dyDescent="0.25">
      <c r="B4" s="69" t="s">
        <v>104</v>
      </c>
      <c r="C4" s="39">
        <v>5.3320139646530193E-2</v>
      </c>
      <c r="D4" s="39">
        <v>5.3320139646530193E-2</v>
      </c>
      <c r="E4" s="39">
        <v>5.2489981055259698E-2</v>
      </c>
      <c r="F4" s="39">
        <v>0.12788374722003901</v>
      </c>
      <c r="G4" s="39">
        <v>0.158230796456337</v>
      </c>
    </row>
    <row r="5" spans="1:15" ht="15.75" customHeight="1" x14ac:dyDescent="0.25">
      <c r="B5" s="69" t="s">
        <v>105</v>
      </c>
      <c r="C5" s="39">
        <v>1.28554534167051E-2</v>
      </c>
      <c r="D5" s="39">
        <v>1.28554534167051E-2</v>
      </c>
      <c r="E5" s="39">
        <v>1.79272890090942E-2</v>
      </c>
      <c r="F5" s="39">
        <v>5.0975099205970799E-2</v>
      </c>
      <c r="G5" s="39">
        <v>5.1847454160451903E-2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0.53756358301903395</v>
      </c>
      <c r="D8" s="99">
        <f>IFERROR(1-_xlfn.NORM.DIST(_xlfn.NORM.INV(SUM(D10:D11), 0, 1) + 1, 0, 1, TRUE), "")</f>
        <v>0.53756358301903395</v>
      </c>
      <c r="E8" s="99">
        <f>IFERROR(1-_xlfn.NORM.DIST(_xlfn.NORM.INV(SUM(E10:E11), 0, 1) + 1, 0, 1, TRUE), "")</f>
        <v>0.61355999784691084</v>
      </c>
      <c r="F8" s="99">
        <f>IFERROR(1-_xlfn.NORM.DIST(_xlfn.NORM.INV(SUM(F10:F11), 0, 1) + 1, 0, 1, TRUE), "")</f>
        <v>0.68349885877969052</v>
      </c>
      <c r="G8" s="99">
        <f>IFERROR(1-_xlfn.NORM.DIST(_xlfn.NORM.INV(SUM(G10:G11), 0, 1) + 1, 0, 1, TRUE), "")</f>
        <v>0.81544930431669593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0.3255241567764125</v>
      </c>
      <c r="D9" s="99">
        <f>IFERROR(_xlfn.NORM.DIST(_xlfn.NORM.INV(SUM(D10:D11), 0, 1) + 1, 0, 1, TRUE) - SUM(D10:D11), "")</f>
        <v>0.3255241567764125</v>
      </c>
      <c r="E9" s="99">
        <f>IFERROR(_xlfn.NORM.DIST(_xlfn.NORM.INV(SUM(E10:E11), 0, 1) + 1, 0, 1, TRUE) - SUM(E10:E11), "")</f>
        <v>0.2876731127299571</v>
      </c>
      <c r="F9" s="99">
        <f>IFERROR(_xlfn.NORM.DIST(_xlfn.NORM.INV(SUM(F10:F11), 0, 1) + 1, 0, 1, TRUE) - SUM(F10:F11), "")</f>
        <v>0.24673103417453979</v>
      </c>
      <c r="G9" s="99">
        <f>IFERROR(_xlfn.NORM.DIST(_xlfn.NORM.INV(SUM(G10:G11), 0, 1) + 1, 0, 1, TRUE) - SUM(G10:G11), "")</f>
        <v>0.15571305118823411</v>
      </c>
    </row>
    <row r="10" spans="1:15" ht="15.75" customHeight="1" x14ac:dyDescent="0.25">
      <c r="B10" s="69" t="s">
        <v>109</v>
      </c>
      <c r="C10" s="39">
        <v>8.0401629209518391E-2</v>
      </c>
      <c r="D10" s="39">
        <v>8.0401629209518391E-2</v>
      </c>
      <c r="E10" s="39">
        <v>6.7012108862400097E-2</v>
      </c>
      <c r="F10" s="39">
        <v>4.9297049641609199E-2</v>
      </c>
      <c r="G10" s="39">
        <v>2.0181475207209601E-2</v>
      </c>
    </row>
    <row r="11" spans="1:15" ht="15.75" customHeight="1" x14ac:dyDescent="0.25">
      <c r="B11" s="69" t="s">
        <v>110</v>
      </c>
      <c r="C11" s="39">
        <v>5.6510630995035199E-2</v>
      </c>
      <c r="D11" s="39">
        <v>5.6510630995035199E-2</v>
      </c>
      <c r="E11" s="39">
        <v>3.1754780560731902E-2</v>
      </c>
      <c r="F11" s="39">
        <v>2.04730574041605E-2</v>
      </c>
      <c r="G11" s="39">
        <v>8.6561692878604005E-3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0.50674149000000002</v>
      </c>
      <c r="D14" s="40">
        <v>0.482549529468</v>
      </c>
      <c r="E14" s="40">
        <v>0.482549529468</v>
      </c>
      <c r="F14" s="40">
        <v>0.36602033348399998</v>
      </c>
      <c r="G14" s="40">
        <v>0.36602033348399998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0.30299999999999999</v>
      </c>
      <c r="M14" s="41">
        <v>0.30299999999999999</v>
      </c>
      <c r="N14" s="41">
        <v>0.30299999999999999</v>
      </c>
      <c r="O14" s="41">
        <v>0.30299999999999999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0.29758596696846001</v>
      </c>
      <c r="D15" s="99">
        <f t="shared" si="0"/>
        <v>0.28337914137820092</v>
      </c>
      <c r="E15" s="99">
        <f t="shared" si="0"/>
        <v>0.28337914137820092</v>
      </c>
      <c r="F15" s="99">
        <f t="shared" si="0"/>
        <v>0.21494690491981294</v>
      </c>
      <c r="G15" s="99">
        <f t="shared" si="0"/>
        <v>0.21494690491981294</v>
      </c>
      <c r="H15" s="99">
        <f t="shared" si="0"/>
        <v>0.19673009000000002</v>
      </c>
      <c r="I15" s="99">
        <f t="shared" si="0"/>
        <v>0.19673009000000002</v>
      </c>
      <c r="J15" s="99">
        <f t="shared" si="0"/>
        <v>0.19673009000000002</v>
      </c>
      <c r="K15" s="99">
        <f t="shared" si="0"/>
        <v>0.19673009000000002</v>
      </c>
      <c r="L15" s="99">
        <f t="shared" si="0"/>
        <v>0.17793796200000001</v>
      </c>
      <c r="M15" s="99">
        <f t="shared" si="0"/>
        <v>0.17793796200000001</v>
      </c>
      <c r="N15" s="99">
        <f t="shared" si="0"/>
        <v>0.17793796200000001</v>
      </c>
      <c r="O15" s="99">
        <f t="shared" si="0"/>
        <v>0.17793796200000001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0.55160951614379894</v>
      </c>
      <c r="D2" s="39">
        <v>0.31436900000000001</v>
      </c>
      <c r="E2" s="39"/>
      <c r="F2" s="39"/>
      <c r="G2" s="39"/>
    </row>
    <row r="3" spans="1:7" x14ac:dyDescent="0.25">
      <c r="B3" s="78" t="s">
        <v>120</v>
      </c>
      <c r="C3" s="39">
        <v>0.26624441146850603</v>
      </c>
      <c r="D3" s="39">
        <v>0.36587259999999999</v>
      </c>
      <c r="E3" s="39"/>
      <c r="F3" s="39"/>
      <c r="G3" s="39"/>
    </row>
    <row r="4" spans="1:7" x14ac:dyDescent="0.25">
      <c r="B4" s="78" t="s">
        <v>121</v>
      </c>
      <c r="C4" s="39">
        <v>0.125422403216362</v>
      </c>
      <c r="D4" s="39">
        <v>0.27279639999999999</v>
      </c>
      <c r="E4" s="39">
        <v>0.90193724632263195</v>
      </c>
      <c r="F4" s="39">
        <v>0.57143712043762196</v>
      </c>
      <c r="G4" s="39"/>
    </row>
    <row r="5" spans="1:7" x14ac:dyDescent="0.25">
      <c r="B5" s="78" t="s">
        <v>122</v>
      </c>
      <c r="C5" s="100">
        <v>5.6723669171333313E-2</v>
      </c>
      <c r="D5" s="100">
        <v>4.6961940824985497E-2</v>
      </c>
      <c r="E5" s="100">
        <f>1-E2-E3-E4</f>
        <v>9.8062753677368053E-2</v>
      </c>
      <c r="F5" s="100">
        <f>1-F2-F3-F4</f>
        <v>0.42856287956237804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2023-01-25T00:45:22Z</dcterms:modified>
</cp:coreProperties>
</file>