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865B03A-E023-4E94-B5D7-2F3AB288236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24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<sst xmlns="http://schemas.openxmlformats.org/spreadsheetml/2006/main" count="2093" uniqueCount="337">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</sst>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6586378</v>
      </c>
    </row>
    <row r="8" spans="1:3" ht="15" customHeight="1" x14ac:dyDescent="0.25">
      <c r="B8" s="69" t="s">
        <v>8</v>
      </c>
      <c r="C8" s="32">
        <v>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0.8498191070556641</v>
      </c>
    </row>
    <row r="11" spans="1:3" ht="15" customHeight="1" x14ac:dyDescent="0.25">
      <c r="B11" s="69" t="s">
        <v>11</v>
      </c>
      <c r="C11" s="32">
        <v>0.88900000000000001</v>
      </c>
    </row>
    <row r="12" spans="1:3" ht="15" customHeight="1" x14ac:dyDescent="0.25">
      <c r="B12" s="69" t="s">
        <v>12</v>
      </c>
      <c r="C12" s="32">
        <v>0.373</v>
      </c>
    </row>
    <row r="13" spans="1:3" ht="15" customHeight="1" x14ac:dyDescent="0.25">
      <c r="B13" s="69" t="s">
        <v>13</v>
      </c>
      <c r="C13" s="32">
        <v>0.40300000000000002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7.0099999999999996E-2</v>
      </c>
    </row>
    <row r="24" spans="1:3" ht="15" customHeight="1" x14ac:dyDescent="0.25">
      <c r="B24" s="7" t="s">
        <v>22</v>
      </c>
      <c r="C24" s="33">
        <v>0.54359999999999997</v>
      </c>
    </row>
    <row r="25" spans="1:3" ht="15" customHeight="1" x14ac:dyDescent="0.25">
      <c r="B25" s="7" t="s">
        <v>23</v>
      </c>
      <c r="C25" s="33">
        <v>0.36299999999999999</v>
      </c>
    </row>
    <row r="26" spans="1:3" ht="15" customHeight="1" x14ac:dyDescent="0.25">
      <c r="B26" s="7" t="s">
        <v>24</v>
      </c>
      <c r="C26" s="33">
        <v>2.3300000000000001E-2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0.34186433168632502</v>
      </c>
    </row>
    <row r="30" spans="1:3" ht="14.25" customHeight="1" x14ac:dyDescent="0.25">
      <c r="B30" s="15" t="s">
        <v>27</v>
      </c>
      <c r="C30" s="42">
        <v>8.608449496655661E-2</v>
      </c>
    </row>
    <row r="31" spans="1:3" ht="14.25" customHeight="1" x14ac:dyDescent="0.25">
      <c r="B31" s="15" t="s">
        <v>28</v>
      </c>
      <c r="C31" s="42">
        <v>9.0131869666394693E-2</v>
      </c>
    </row>
    <row r="32" spans="1:3" ht="14.25" customHeight="1" x14ac:dyDescent="0.25">
      <c r="B32" s="15" t="s">
        <v>29</v>
      </c>
      <c r="C32" s="42">
        <v>0.481919303680723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5.2784806391885404</v>
      </c>
    </row>
    <row r="38" spans="1:5" ht="15" customHeight="1" x14ac:dyDescent="0.25">
      <c r="B38" s="65" t="s">
        <v>34</v>
      </c>
      <c r="C38" s="94">
        <v>8.6153282712556596</v>
      </c>
      <c r="D38" s="5"/>
      <c r="E38" s="6"/>
    </row>
    <row r="39" spans="1:5" ht="15" customHeight="1" x14ac:dyDescent="0.25">
      <c r="B39" s="65" t="s">
        <v>35</v>
      </c>
      <c r="C39" s="94">
        <v>10.046388231764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4.4318235809999997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2.66874E-2</v>
      </c>
      <c r="D45" s="5"/>
    </row>
    <row r="46" spans="1:5" ht="15.75" customHeight="1" x14ac:dyDescent="0.25">
      <c r="B46" s="65" t="s">
        <v>41</v>
      </c>
      <c r="C46" s="33">
        <v>9.2983700000000002E-2</v>
      </c>
      <c r="D46" s="5"/>
    </row>
    <row r="47" spans="1:5" ht="15.75" customHeight="1" x14ac:dyDescent="0.25">
      <c r="B47" s="65" t="s">
        <v>42</v>
      </c>
      <c r="C47" s="33">
        <v>0.18996379999999999</v>
      </c>
      <c r="D47" s="5"/>
      <c r="E47" s="6"/>
    </row>
    <row r="48" spans="1:5" ht="15" customHeight="1" x14ac:dyDescent="0.25">
      <c r="B48" s="65" t="s">
        <v>43</v>
      </c>
      <c r="C48" s="97">
        <v>0.69036510000000006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0.59711100000000006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0.11396655999999999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0.69610868215869903</v>
      </c>
      <c r="C2" s="43">
        <v>0.95</v>
      </c>
      <c r="D2" s="86">
        <v>100.8838400123179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40.840660619620337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1086.2600399420769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2.9040093126562878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0.215708059500061</v>
      </c>
      <c r="C10" s="43">
        <v>0.95</v>
      </c>
      <c r="D10" s="86">
        <v>13.972960063416251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0.215708059500061</v>
      </c>
      <c r="C11" s="43">
        <v>0.95</v>
      </c>
      <c r="D11" s="86">
        <v>13.972960063416251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0.215708059500061</v>
      </c>
      <c r="C12" s="43">
        <v>0.95</v>
      </c>
      <c r="D12" s="86">
        <v>13.972960063416251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0.215708059500061</v>
      </c>
      <c r="C13" s="43">
        <v>0.95</v>
      </c>
      <c r="D13" s="86">
        <v>13.972960063416251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0.215708059500061</v>
      </c>
      <c r="C14" s="43">
        <v>0.95</v>
      </c>
      <c r="D14" s="86">
        <v>13.972960063416251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0.215708059500061</v>
      </c>
      <c r="C15" s="43">
        <v>0.95</v>
      </c>
      <c r="D15" s="86">
        <v>13.972960063416251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1.6797258633116019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24.839970481111401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24.839970481111401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0.97582390000000008</v>
      </c>
      <c r="C21" s="43">
        <v>0.95</v>
      </c>
      <c r="D21" s="86">
        <v>27.799382182381819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24.616622973147329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4.8798255494888956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0.24666778961809999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0.168238812671066</v>
      </c>
      <c r="C27" s="43">
        <v>0.95</v>
      </c>
      <c r="D27" s="86">
        <v>19.534604961991612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0.97297233962778806</v>
      </c>
      <c r="C29" s="43">
        <v>0.95</v>
      </c>
      <c r="D29" s="86">
        <v>211.45682792792479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0.56632019569628533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3.7054411364622579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3.7084194520624441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0.98875718152611103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0.173548232</v>
      </c>
      <c r="C3" s="13">
        <f>frac_mam_1_5months * 2.6</f>
        <v>0.173548232</v>
      </c>
      <c r="D3" s="13">
        <f>frac_mam_6_11months * 2.6</f>
        <v>6.4794191800000012E-2</v>
      </c>
      <c r="E3" s="13">
        <f>frac_mam_12_23months * 2.6</f>
        <v>2.4542515400000003E-2</v>
      </c>
      <c r="F3" s="13">
        <f>frac_mam_24_59months * 2.6</f>
        <v>1.7898596039999999E-2</v>
      </c>
    </row>
    <row r="4" spans="1:6" ht="15.75" customHeight="1" x14ac:dyDescent="0.25">
      <c r="A4" s="78" t="s">
        <v>204</v>
      </c>
      <c r="B4" s="13">
        <f>frac_sam_1month * 2.6</f>
        <v>5.6318347800000002E-2</v>
      </c>
      <c r="C4" s="13">
        <f>frac_sam_1_5months * 2.6</f>
        <v>5.6318347800000002E-2</v>
      </c>
      <c r="D4" s="13">
        <f>frac_sam_6_11months * 2.6</f>
        <v>0</v>
      </c>
      <c r="E4" s="13">
        <f>frac_sam_12_23months * 2.6</f>
        <v>2.418436098E-2</v>
      </c>
      <c r="F4" s="13">
        <f>frac_sam_24_59months * 2.6</f>
        <v>4.0075848799999998E-3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1E-3</v>
      </c>
      <c r="E2" s="47">
        <f>food_insecure</f>
        <v>1E-3</v>
      </c>
      <c r="F2" s="47">
        <f>food_insecure</f>
        <v>1E-3</v>
      </c>
      <c r="G2" s="47">
        <f>food_insecure</f>
        <v>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1E-3</v>
      </c>
      <c r="F5" s="47">
        <f>food_insecure</f>
        <v>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1E-3</v>
      </c>
      <c r="F8" s="47">
        <f>food_insecure</f>
        <v>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1E-3</v>
      </c>
      <c r="F9" s="47">
        <f>food_insecure</f>
        <v>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0.373</v>
      </c>
      <c r="E10" s="47">
        <f>IF(ISBLANK(comm_deliv), frac_children_health_facility,1)</f>
        <v>0.373</v>
      </c>
      <c r="F10" s="47">
        <f>IF(ISBLANK(comm_deliv), frac_children_health_facility,1)</f>
        <v>0.373</v>
      </c>
      <c r="G10" s="47">
        <f>IF(ISBLANK(comm_deliv), frac_children_health_facility,1)</f>
        <v>0.373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1E-3</v>
      </c>
      <c r="I15" s="47">
        <f>food_insecure</f>
        <v>1E-3</v>
      </c>
      <c r="J15" s="47">
        <f>food_insecure</f>
        <v>1E-3</v>
      </c>
      <c r="K15" s="47">
        <f>food_insecure</f>
        <v>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0.88900000000000001</v>
      </c>
      <c r="I18" s="47">
        <f>frac_PW_health_facility</f>
        <v>0.88900000000000001</v>
      </c>
      <c r="J18" s="47">
        <f>frac_PW_health_facility</f>
        <v>0.88900000000000001</v>
      </c>
      <c r="K18" s="47">
        <f>frac_PW_health_facility</f>
        <v>0.88900000000000001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0.40300000000000002</v>
      </c>
      <c r="M24" s="47">
        <f>famplan_unmet_need</f>
        <v>0.40300000000000002</v>
      </c>
      <c r="N24" s="47">
        <f>famplan_unmet_need</f>
        <v>0.40300000000000002</v>
      </c>
      <c r="O24" s="47">
        <f>famplan_unmet_need</f>
        <v>0.40300000000000002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7.3620175530242901E-2</v>
      </c>
      <c r="M25" s="47">
        <f>(1-food_insecure)*(0.49)+food_insecure*(0.7)</f>
        <v>0.49020999999999998</v>
      </c>
      <c r="N25" s="47">
        <f>(1-food_insecure)*(0.49)+food_insecure*(0.7)</f>
        <v>0.49020999999999998</v>
      </c>
      <c r="O25" s="47">
        <f>(1-food_insecure)*(0.49)+food_insecure*(0.7)</f>
        <v>0.49020999999999998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3.155150379867553E-2</v>
      </c>
      <c r="M26" s="47">
        <f>(1-food_insecure)*(0.21)+food_insecure*(0.3)</f>
        <v>0.21009</v>
      </c>
      <c r="N26" s="47">
        <f>(1-food_insecure)*(0.21)+food_insecure*(0.3)</f>
        <v>0.21009</v>
      </c>
      <c r="O26" s="47">
        <f>(1-food_insecure)*(0.21)+food_insecure*(0.3)</f>
        <v>0.21009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4.5009213615417466E-2</v>
      </c>
      <c r="M27" s="47">
        <f>(1-food_insecure)*(0.3)</f>
        <v>0.29969999999999997</v>
      </c>
      <c r="N27" s="47">
        <f>(1-food_insecure)*(0.3)</f>
        <v>0.29969999999999997</v>
      </c>
      <c r="O27" s="47">
        <f>(1-food_insecure)*(0.3)</f>
        <v>0.29969999999999997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0.8498191070556641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1263888.0190000001</v>
      </c>
      <c r="C2" s="37">
        <v>3314000</v>
      </c>
      <c r="D2" s="37">
        <v>6508000</v>
      </c>
      <c r="E2" s="37">
        <v>496000</v>
      </c>
      <c r="F2" s="37">
        <v>366000</v>
      </c>
      <c r="G2" s="9">
        <f t="shared" ref="G2:G40" si="0">C2+D2+E2+F2</f>
        <v>10684000</v>
      </c>
      <c r="H2" s="9">
        <f t="shared" ref="H2:H40" si="1">(B2 + stillbirth*B2/(1000-stillbirth))/(1-abortion)</f>
        <v>1442629.8662873399</v>
      </c>
      <c r="I2" s="9">
        <f t="shared" ref="I2:I40" si="2">G2-H2</f>
        <v>9241370.1337126605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1253282.0828</v>
      </c>
      <c r="C3" s="37">
        <v>3290000</v>
      </c>
      <c r="D3" s="37">
        <v>6523000</v>
      </c>
      <c r="E3" s="37">
        <v>509000</v>
      </c>
      <c r="F3" s="37">
        <v>375000</v>
      </c>
      <c r="G3" s="9">
        <f t="shared" si="0"/>
        <v>10697000</v>
      </c>
      <c r="H3" s="9">
        <f t="shared" si="1"/>
        <v>1430524.0150631438</v>
      </c>
      <c r="I3" s="9">
        <f t="shared" si="2"/>
        <v>9266475.9849368557</v>
      </c>
    </row>
    <row r="4" spans="1:9" ht="15.75" customHeight="1" x14ac:dyDescent="0.25">
      <c r="A4" s="69">
        <f t="shared" si="3"/>
        <v>2023</v>
      </c>
      <c r="B4" s="36">
        <v>1240732.2312</v>
      </c>
      <c r="C4" s="37">
        <v>3261000</v>
      </c>
      <c r="D4" s="37">
        <v>6526000</v>
      </c>
      <c r="E4" s="37">
        <v>520000</v>
      </c>
      <c r="F4" s="37">
        <v>384000</v>
      </c>
      <c r="G4" s="9">
        <f t="shared" si="0"/>
        <v>10691000</v>
      </c>
      <c r="H4" s="9">
        <f t="shared" si="1"/>
        <v>1416199.3356109574</v>
      </c>
      <c r="I4" s="9">
        <f t="shared" si="2"/>
        <v>9274800.6643890422</v>
      </c>
    </row>
    <row r="5" spans="1:9" ht="15.75" customHeight="1" x14ac:dyDescent="0.25">
      <c r="A5" s="69">
        <f t="shared" si="3"/>
        <v>2024</v>
      </c>
      <c r="B5" s="36">
        <v>1227488.4288000001</v>
      </c>
      <c r="C5" s="37">
        <v>3235000</v>
      </c>
      <c r="D5" s="37">
        <v>6516000</v>
      </c>
      <c r="E5" s="37">
        <v>528000</v>
      </c>
      <c r="F5" s="37">
        <v>394000</v>
      </c>
      <c r="G5" s="9">
        <f t="shared" si="0"/>
        <v>10673000</v>
      </c>
      <c r="H5" s="9">
        <f t="shared" si="1"/>
        <v>1401082.5652972672</v>
      </c>
      <c r="I5" s="9">
        <f t="shared" si="2"/>
        <v>9271917.4347027335</v>
      </c>
    </row>
    <row r="6" spans="1:9" ht="15.75" customHeight="1" x14ac:dyDescent="0.25">
      <c r="A6" s="69">
        <f t="shared" si="3"/>
        <v>2025</v>
      </c>
      <c r="B6" s="36">
        <v>1214448.625</v>
      </c>
      <c r="C6" s="37">
        <v>3214000</v>
      </c>
      <c r="D6" s="37">
        <v>6497000</v>
      </c>
      <c r="E6" s="37">
        <v>530000</v>
      </c>
      <c r="F6" s="37">
        <v>405000</v>
      </c>
      <c r="G6" s="9">
        <f t="shared" si="0"/>
        <v>10646000</v>
      </c>
      <c r="H6" s="9">
        <f t="shared" si="1"/>
        <v>1386198.6435181119</v>
      </c>
      <c r="I6" s="9">
        <f t="shared" si="2"/>
        <v>9259801.3564818874</v>
      </c>
    </row>
    <row r="7" spans="1:9" ht="15.75" customHeight="1" x14ac:dyDescent="0.25">
      <c r="A7" s="69">
        <f t="shared" si="3"/>
        <v>2026</v>
      </c>
      <c r="B7" s="36">
        <v>1205093.5728</v>
      </c>
      <c r="C7" s="37">
        <v>3202000</v>
      </c>
      <c r="D7" s="37">
        <v>6473000</v>
      </c>
      <c r="E7" s="37">
        <v>527000</v>
      </c>
      <c r="F7" s="37">
        <v>417000</v>
      </c>
      <c r="G7" s="9">
        <f t="shared" si="0"/>
        <v>10619000</v>
      </c>
      <c r="H7" s="9">
        <f t="shared" si="1"/>
        <v>1375520.5790839896</v>
      </c>
      <c r="I7" s="9">
        <f t="shared" si="2"/>
        <v>9243479.4209160097</v>
      </c>
    </row>
    <row r="8" spans="1:9" ht="15.75" customHeight="1" x14ac:dyDescent="0.25">
      <c r="A8" s="69">
        <f t="shared" si="3"/>
        <v>2027</v>
      </c>
      <c r="B8" s="36">
        <v>1195992.3959999999</v>
      </c>
      <c r="C8" s="37">
        <v>3195000</v>
      </c>
      <c r="D8" s="37">
        <v>6441000</v>
      </c>
      <c r="E8" s="37">
        <v>521000</v>
      </c>
      <c r="F8" s="37">
        <v>429000</v>
      </c>
      <c r="G8" s="9">
        <f t="shared" si="0"/>
        <v>10586000</v>
      </c>
      <c r="H8" s="9">
        <f t="shared" si="1"/>
        <v>1365132.2936720988</v>
      </c>
      <c r="I8" s="9">
        <f t="shared" si="2"/>
        <v>9220867.7063279003</v>
      </c>
    </row>
    <row r="9" spans="1:9" ht="15.75" customHeight="1" x14ac:dyDescent="0.25">
      <c r="A9" s="69">
        <f t="shared" si="3"/>
        <v>2028</v>
      </c>
      <c r="B9" s="36">
        <v>1187089.1103999999</v>
      </c>
      <c r="C9" s="37">
        <v>3189000</v>
      </c>
      <c r="D9" s="37">
        <v>6404000</v>
      </c>
      <c r="E9" s="37">
        <v>511000</v>
      </c>
      <c r="F9" s="37">
        <v>443000</v>
      </c>
      <c r="G9" s="9">
        <f t="shared" si="0"/>
        <v>10547000</v>
      </c>
      <c r="H9" s="9">
        <f t="shared" si="1"/>
        <v>1354969.8856726871</v>
      </c>
      <c r="I9" s="9">
        <f t="shared" si="2"/>
        <v>9192030.1143273134</v>
      </c>
    </row>
    <row r="10" spans="1:9" ht="15.75" customHeight="1" x14ac:dyDescent="0.25">
      <c r="A10" s="69">
        <f t="shared" si="3"/>
        <v>2029</v>
      </c>
      <c r="B10" s="36">
        <v>1178209.2420000001</v>
      </c>
      <c r="C10" s="37">
        <v>3179000</v>
      </c>
      <c r="D10" s="37">
        <v>6368000</v>
      </c>
      <c r="E10" s="37">
        <v>501000</v>
      </c>
      <c r="F10" s="37">
        <v>456000</v>
      </c>
      <c r="G10" s="9">
        <f t="shared" si="0"/>
        <v>10504000</v>
      </c>
      <c r="H10" s="9">
        <f t="shared" si="1"/>
        <v>1344834.2065856454</v>
      </c>
      <c r="I10" s="9">
        <f t="shared" si="2"/>
        <v>9159165.7934143543</v>
      </c>
    </row>
    <row r="11" spans="1:9" ht="15.75" customHeight="1" x14ac:dyDescent="0.25">
      <c r="A11" s="69">
        <f t="shared" si="3"/>
        <v>2030</v>
      </c>
      <c r="B11" s="36">
        <v>1169226.4080000001</v>
      </c>
      <c r="C11" s="37">
        <v>3163000</v>
      </c>
      <c r="D11" s="37">
        <v>6335000</v>
      </c>
      <c r="E11" s="37">
        <v>491000</v>
      </c>
      <c r="F11" s="37">
        <v>469000</v>
      </c>
      <c r="G11" s="9">
        <f t="shared" si="0"/>
        <v>10458000</v>
      </c>
      <c r="H11" s="9">
        <f t="shared" si="1"/>
        <v>1334581.0002750463</v>
      </c>
      <c r="I11" s="9">
        <f t="shared" si="2"/>
        <v>9123418.9997249544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2944869.3231273815</v>
      </c>
      <c r="I12" s="9">
        <f t="shared" si="2"/>
        <v>15638799.676872618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3001940.4340407029</v>
      </c>
      <c r="I13" s="9">
        <f t="shared" si="2"/>
        <v>16172639.565959297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3070425.7671366879</v>
      </c>
      <c r="I14" s="9">
        <f t="shared" si="2"/>
        <v>16705830.232863313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3127496.8780500093</v>
      </c>
      <c r="I15" s="9">
        <f t="shared" si="2"/>
        <v>17259231.121949989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6.5780787918312059E-2</v>
      </c>
    </row>
    <row r="5" spans="1:8" ht="15.75" customHeight="1" x14ac:dyDescent="0.25">
      <c r="B5" s="11" t="s">
        <v>70</v>
      </c>
      <c r="C5" s="38">
        <v>1.324948228162641E-2</v>
      </c>
    </row>
    <row r="6" spans="1:8" ht="15.75" customHeight="1" x14ac:dyDescent="0.25">
      <c r="B6" s="11" t="s">
        <v>71</v>
      </c>
      <c r="C6" s="38">
        <v>7.7491190228652154E-2</v>
      </c>
    </row>
    <row r="7" spans="1:8" ht="15.75" customHeight="1" x14ac:dyDescent="0.25">
      <c r="B7" s="11" t="s">
        <v>72</v>
      </c>
      <c r="C7" s="38">
        <v>0.40754536158370702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0.30498340206693358</v>
      </c>
    </row>
    <row r="10" spans="1:8" ht="15.75" customHeight="1" x14ac:dyDescent="0.25">
      <c r="B10" s="11" t="s">
        <v>75</v>
      </c>
      <c r="C10" s="38">
        <v>0.13094977592076881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1.8973157017512472E-2</v>
      </c>
      <c r="D14" s="38">
        <v>1.8973157017512472E-2</v>
      </c>
      <c r="E14" s="38">
        <v>1.8973157017512472E-2</v>
      </c>
      <c r="F14" s="38">
        <v>1.8973157017512472E-2</v>
      </c>
    </row>
    <row r="15" spans="1:8" ht="15.75" customHeight="1" x14ac:dyDescent="0.25">
      <c r="B15" s="11" t="s">
        <v>82</v>
      </c>
      <c r="C15" s="38">
        <v>7.1740472660633589E-2</v>
      </c>
      <c r="D15" s="38">
        <v>7.1740472660633589E-2</v>
      </c>
      <c r="E15" s="38">
        <v>7.1740472660633589E-2</v>
      </c>
      <c r="F15" s="38">
        <v>7.1740472660633589E-2</v>
      </c>
    </row>
    <row r="16" spans="1:8" ht="15.75" customHeight="1" x14ac:dyDescent="0.25">
      <c r="B16" s="11" t="s">
        <v>83</v>
      </c>
      <c r="C16" s="38">
        <v>9.228266138645299E-3</v>
      </c>
      <c r="D16" s="38">
        <v>9.228266138645299E-3</v>
      </c>
      <c r="E16" s="38">
        <v>9.228266138645299E-3</v>
      </c>
      <c r="F16" s="38">
        <v>9.228266138645299E-3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9.5464713926239064E-2</v>
      </c>
      <c r="D21" s="38">
        <v>9.5464713926239064E-2</v>
      </c>
      <c r="E21" s="38">
        <v>9.5464713926239064E-2</v>
      </c>
      <c r="F21" s="38">
        <v>9.5464713926239064E-2</v>
      </c>
    </row>
    <row r="22" spans="1:8" ht="15.75" customHeight="1" x14ac:dyDescent="0.25">
      <c r="B22" s="11" t="s">
        <v>89</v>
      </c>
      <c r="C22" s="38">
        <v>0.80459339025696952</v>
      </c>
      <c r="D22" s="38">
        <v>0.80459339025696952</v>
      </c>
      <c r="E22" s="38">
        <v>0.80459339025696952</v>
      </c>
      <c r="F22" s="38">
        <v>0.80459339025696952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3.9700850000000003E-2</v>
      </c>
    </row>
    <row r="27" spans="1:8" ht="15.75" customHeight="1" x14ac:dyDescent="0.25">
      <c r="B27" s="11" t="s">
        <v>92</v>
      </c>
      <c r="C27" s="38">
        <v>2.3007410999999998E-2</v>
      </c>
    </row>
    <row r="28" spans="1:8" ht="15.75" customHeight="1" x14ac:dyDescent="0.25">
      <c r="B28" s="11" t="s">
        <v>93</v>
      </c>
      <c r="C28" s="38">
        <v>0.18789456399999999</v>
      </c>
    </row>
    <row r="29" spans="1:8" ht="15.75" customHeight="1" x14ac:dyDescent="0.25">
      <c r="B29" s="11" t="s">
        <v>94</v>
      </c>
      <c r="C29" s="38">
        <v>0.14356665699999999</v>
      </c>
    </row>
    <row r="30" spans="1:8" ht="15.75" customHeight="1" x14ac:dyDescent="0.25">
      <c r="B30" s="11" t="s">
        <v>95</v>
      </c>
      <c r="C30" s="38">
        <v>5.2092121999999998E-2</v>
      </c>
    </row>
    <row r="31" spans="1:8" ht="15.75" customHeight="1" x14ac:dyDescent="0.25">
      <c r="B31" s="11" t="s">
        <v>96</v>
      </c>
      <c r="C31" s="38">
        <v>2.4076997999999999E-2</v>
      </c>
    </row>
    <row r="32" spans="1:8" ht="15.75" customHeight="1" x14ac:dyDescent="0.25">
      <c r="B32" s="11" t="s">
        <v>97</v>
      </c>
      <c r="C32" s="38">
        <v>8.5285021000000003E-2</v>
      </c>
    </row>
    <row r="33" spans="2:3" ht="15.75" customHeight="1" x14ac:dyDescent="0.25">
      <c r="B33" s="11" t="s">
        <v>98</v>
      </c>
      <c r="C33" s="38">
        <v>0.223807599</v>
      </c>
    </row>
    <row r="34" spans="2:3" ht="15.75" customHeight="1" x14ac:dyDescent="0.25">
      <c r="B34" s="11" t="s">
        <v>99</v>
      </c>
      <c r="C34" s="38">
        <v>0.22056877799999999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0.54900253810195621</v>
      </c>
      <c r="D2" s="99">
        <f>IFERROR(1-_xlfn.NORM.DIST(_xlfn.NORM.INV(SUM(D4:D5), 0, 1) + 1, 0, 1, TRUE), "")</f>
        <v>0.54900253810195621</v>
      </c>
      <c r="E2" s="99">
        <f>IFERROR(1-_xlfn.NORM.DIST(_xlfn.NORM.INV(SUM(E4:E5), 0, 1) + 1, 0, 1, TRUE), "")</f>
        <v>0.73365039545316124</v>
      </c>
      <c r="F2" s="99">
        <f>IFERROR(1-_xlfn.NORM.DIST(_xlfn.NORM.INV(SUM(F4:F5), 0, 1) + 1, 0, 1, TRUE), "")</f>
        <v>0.61490870815438781</v>
      </c>
      <c r="G2" s="99">
        <f>IFERROR(1-_xlfn.NORM.DIST(_xlfn.NORM.INV(SUM(G4:G5), 0, 1) + 1, 0, 1, TRUE), "")</f>
        <v>0.5979591492284243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0.32030879389804379</v>
      </c>
      <c r="D3" s="99">
        <f>IFERROR(_xlfn.NORM.DIST(_xlfn.NORM.INV(SUM(D4:D5), 0, 1) + 1, 0, 1, TRUE) - SUM(D4:D5), "")</f>
        <v>0.32030879389804379</v>
      </c>
      <c r="E3" s="99">
        <f>IFERROR(_xlfn.NORM.DIST(_xlfn.NORM.INV(SUM(E4:E5), 0, 1) + 1, 0, 1, TRUE) - SUM(E4:E5), "")</f>
        <v>0.21415006154683869</v>
      </c>
      <c r="F3" s="99">
        <f>IFERROR(_xlfn.NORM.DIST(_xlfn.NORM.INV(SUM(F4:F5), 0, 1) + 1, 0, 1, TRUE) - SUM(F4:F5), "")</f>
        <v>0.28693627984561221</v>
      </c>
      <c r="G3" s="99">
        <f>IFERROR(_xlfn.NORM.DIST(_xlfn.NORM.INV(SUM(G4:G5), 0, 1) + 1, 0, 1, TRUE) - SUM(G4:G5), "")</f>
        <v>0.29603779477157571</v>
      </c>
    </row>
    <row r="4" spans="1:15" ht="15.75" customHeight="1" x14ac:dyDescent="0.25">
      <c r="B4" s="69" t="s">
        <v>104</v>
      </c>
      <c r="C4" s="39">
        <v>6.1346827E-2</v>
      </c>
      <c r="D4" s="39">
        <v>6.1346827E-2</v>
      </c>
      <c r="E4" s="39">
        <v>4.1452804000000003E-2</v>
      </c>
      <c r="F4" s="39">
        <v>6.262425399999999E-2</v>
      </c>
      <c r="G4" s="39">
        <v>6.9781623000000001E-2</v>
      </c>
    </row>
    <row r="5" spans="1:15" ht="15.75" customHeight="1" x14ac:dyDescent="0.25">
      <c r="B5" s="69" t="s">
        <v>105</v>
      </c>
      <c r="C5" s="39">
        <v>6.9341841000000001E-2</v>
      </c>
      <c r="D5" s="39">
        <v>6.9341841000000001E-2</v>
      </c>
      <c r="E5" s="39">
        <v>1.0746739E-2</v>
      </c>
      <c r="F5" s="39">
        <v>3.5530758000000003E-2</v>
      </c>
      <c r="G5" s="39">
        <v>3.6221432999999997E-2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0.63705946454588847</v>
      </c>
      <c r="D8" s="99">
        <f>IFERROR(1-_xlfn.NORM.DIST(_xlfn.NORM.INV(SUM(D10:D11), 0, 1) + 1, 0, 1, TRUE), "")</f>
        <v>0.63705946454588847</v>
      </c>
      <c r="E8" s="99">
        <f>IFERROR(1-_xlfn.NORM.DIST(_xlfn.NORM.INV(SUM(E10:E11), 0, 1) + 1, 0, 1, TRUE), "")</f>
        <v>0.83180439497187475</v>
      </c>
      <c r="F8" s="99">
        <f>IFERROR(1-_xlfn.NORM.DIST(_xlfn.NORM.INV(SUM(F10:F11), 0, 1) + 1, 0, 1, TRUE), "")</f>
        <v>0.8600340937545069</v>
      </c>
      <c r="G8" s="99">
        <f>IFERROR(1-_xlfn.NORM.DIST(_xlfn.NORM.INV(SUM(G10:G11), 0, 1) + 1, 0, 1, TRUE), "")</f>
        <v>0.91772716951429534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0.27453031245411152</v>
      </c>
      <c r="D9" s="99">
        <f>IFERROR(_xlfn.NORM.DIST(_xlfn.NORM.INV(SUM(D10:D11), 0, 1) + 1, 0, 1, TRUE) - SUM(D10:D11), "")</f>
        <v>0.27453031245411152</v>
      </c>
      <c r="E9" s="99">
        <f>IFERROR(_xlfn.NORM.DIST(_xlfn.NORM.INV(SUM(E10:E11), 0, 1) + 1, 0, 1, TRUE) - SUM(E10:E11), "")</f>
        <v>0.14327476202812525</v>
      </c>
      <c r="F9" s="99">
        <f>IFERROR(_xlfn.NORM.DIST(_xlfn.NORM.INV(SUM(F10:F11), 0, 1) + 1, 0, 1, TRUE) - SUM(F10:F11), "")</f>
        <v>0.12122479994549312</v>
      </c>
      <c r="G9" s="99">
        <f>IFERROR(_xlfn.NORM.DIST(_xlfn.NORM.INV(SUM(G10:G11), 0, 1) + 1, 0, 1, TRUE) - SUM(G10:G11), "")</f>
        <v>7.3847376285704619E-2</v>
      </c>
    </row>
    <row r="10" spans="1:15" ht="15.75" customHeight="1" x14ac:dyDescent="0.25">
      <c r="B10" s="69" t="s">
        <v>109</v>
      </c>
      <c r="C10" s="39">
        <v>6.6749320000000001E-2</v>
      </c>
      <c r="D10" s="39">
        <v>6.6749320000000001E-2</v>
      </c>
      <c r="E10" s="39">
        <v>2.4920843000000002E-2</v>
      </c>
      <c r="F10" s="39">
        <v>9.4394290000000009E-3</v>
      </c>
      <c r="G10" s="39">
        <v>6.8840754000000001E-3</v>
      </c>
    </row>
    <row r="11" spans="1:15" ht="15.75" customHeight="1" x14ac:dyDescent="0.25">
      <c r="B11" s="69" t="s">
        <v>110</v>
      </c>
      <c r="C11" s="39">
        <v>2.1660902999999999E-2</v>
      </c>
      <c r="D11" s="39">
        <v>2.1660902999999999E-2</v>
      </c>
      <c r="E11" s="39">
        <v>0</v>
      </c>
      <c r="F11" s="39">
        <v>9.3016773000000001E-3</v>
      </c>
      <c r="G11" s="39">
        <v>1.5413788E-3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0.22474285975</v>
      </c>
      <c r="D14" s="40">
        <v>0.234737514727</v>
      </c>
      <c r="E14" s="40">
        <v>0.234737514727</v>
      </c>
      <c r="F14" s="40">
        <v>0.223199456702</v>
      </c>
      <c r="G14" s="40">
        <v>0.223199456702</v>
      </c>
      <c r="H14" s="41">
        <v>0.34399999999999997</v>
      </c>
      <c r="I14" s="41">
        <v>0.34399999999999997</v>
      </c>
      <c r="J14" s="41">
        <v>0.34399999999999997</v>
      </c>
      <c r="K14" s="41">
        <v>0.34399999999999997</v>
      </c>
      <c r="L14" s="41">
        <v>0.307</v>
      </c>
      <c r="M14" s="41">
        <v>0.307</v>
      </c>
      <c r="N14" s="41">
        <v>0.307</v>
      </c>
      <c r="O14" s="41">
        <v>0.307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0.13419643372818227</v>
      </c>
      <c r="D15" s="99">
        <f t="shared" si="0"/>
        <v>0.14016435215615372</v>
      </c>
      <c r="E15" s="99">
        <f t="shared" si="0"/>
        <v>0.14016435215615372</v>
      </c>
      <c r="F15" s="99">
        <f t="shared" si="0"/>
        <v>0.13327485079078794</v>
      </c>
      <c r="G15" s="99">
        <f t="shared" si="0"/>
        <v>0.13327485079078794</v>
      </c>
      <c r="H15" s="99">
        <f t="shared" si="0"/>
        <v>0.20540618399999999</v>
      </c>
      <c r="I15" s="99">
        <f t="shared" si="0"/>
        <v>0.20540618399999999</v>
      </c>
      <c r="J15" s="99">
        <f t="shared" si="0"/>
        <v>0.20540618399999999</v>
      </c>
      <c r="K15" s="99">
        <f t="shared" si="0"/>
        <v>0.20540618399999999</v>
      </c>
      <c r="L15" s="99">
        <f t="shared" si="0"/>
        <v>0.18331307700000002</v>
      </c>
      <c r="M15" s="99">
        <f t="shared" si="0"/>
        <v>0.18331307700000002</v>
      </c>
      <c r="N15" s="99">
        <f t="shared" si="0"/>
        <v>0.18331307700000002</v>
      </c>
      <c r="O15" s="99">
        <f t="shared" si="0"/>
        <v>0.18331307700000002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0.59449800000000008</v>
      </c>
      <c r="D2" s="39">
        <v>0.29309990000000002</v>
      </c>
      <c r="E2" s="39"/>
      <c r="F2" s="39"/>
      <c r="G2" s="39"/>
    </row>
    <row r="3" spans="1:7" x14ac:dyDescent="0.25">
      <c r="B3" s="78" t="s">
        <v>120</v>
      </c>
      <c r="C3" s="39">
        <v>9.7630759999999997E-2</v>
      </c>
      <c r="D3" s="39">
        <v>0.23736940000000001</v>
      </c>
      <c r="E3" s="39"/>
      <c r="F3" s="39"/>
      <c r="G3" s="39"/>
    </row>
    <row r="4" spans="1:7" x14ac:dyDescent="0.25">
      <c r="B4" s="78" t="s">
        <v>121</v>
      </c>
      <c r="C4" s="39">
        <v>0.25931979999999999</v>
      </c>
      <c r="D4" s="39">
        <v>0.4031151</v>
      </c>
      <c r="E4" s="39">
        <v>0.74230986833572399</v>
      </c>
      <c r="F4" s="39">
        <v>0.37930190563201899</v>
      </c>
      <c r="G4" s="39"/>
    </row>
    <row r="5" spans="1:7" x14ac:dyDescent="0.25">
      <c r="B5" s="78" t="s">
        <v>122</v>
      </c>
      <c r="C5" s="100">
        <v>4.8551450000000003E-2</v>
      </c>
      <c r="D5" s="100">
        <v>6.6415580000000002E-2</v>
      </c>
      <c r="E5" s="100">
        <f>1-E2-E3-E4</f>
        <v>0.25769013166427601</v>
      </c>
      <c r="F5" s="100">
        <f>1-F2-F3-F4</f>
        <v>0.62069809436798096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2023-01-25T00:45:41Z</dcterms:modified>
</cp:coreProperties>
</file>