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applications/master/data/national/"/>
    </mc:Choice>
  </mc:AlternateContent>
  <xr:revisionPtr revIDLastSave="0" documentId="12_ncr:500000_{72652FDC-77F7-BF46-9629-F8DB58CAB3E6}" xr6:coauthVersionLast="31" xr6:coauthVersionMax="31" xr10:uidLastSave="{00000000-0000-0000-0000-000000000000}"/>
  <bookViews>
    <workbookView xWindow="-100" yWindow="-19800" windowWidth="25600" windowHeight="15540" tabRatio="961" firstSheet="1" activeTab="7" xr2:uid="{00000000-000D-0000-FFFF-FFFF00000000}"/>
  </bookViews>
  <sheets>
    <sheet name="Baseline year population inputs" sheetId="1" r:id="rId1"/>
    <sheet name="Causes of death" sheetId="4" r:id="rId2"/>
    <sheet name="Demographic projections" sheetId="2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Programs birth age" sheetId="55" r:id="rId8"/>
    <sheet name="Incidence of conditions" sheetId="7" r:id="rId9"/>
    <sheet name="Wasting incidence" sheetId="53" r:id="rId10"/>
    <sheet name="IYCF packages" sheetId="33" r:id="rId11"/>
    <sheet name="IYCF target &amp; cost" sheetId="35" r:id="rId12"/>
    <sheet name="Programs target population" sheetId="21" r:id="rId13"/>
    <sheet name="Programs cost and coverage" sheetId="20" r:id="rId14"/>
    <sheet name="Programs family planning" sheetId="54" r:id="rId15"/>
  </sheets>
  <definedNames>
    <definedName name="abortion">'Baseline year population inputs'!$C$26</definedName>
    <definedName name="famplan_unmet_need">'Baseline year population inputs'!$C$8</definedName>
    <definedName name="food_insecure">'Baseline year population inputs'!$C$3</definedName>
    <definedName name="frac_children_health_facility">'Baseline year population inputs'!$C$7</definedName>
    <definedName name="frac_diarrhea_severe">'Baseline year population inputs'!$C$46</definedName>
    <definedName name="frac_maize">'Baseline year population inputs'!$C$14</definedName>
    <definedName name="frac_malaria_risk">'Baseline year population inputs'!$C$4</definedName>
    <definedName name="frac_MAMtoSAM">'Baseline year population inputs'!$C$48</definedName>
    <definedName name="frac_other_staples">'Baseline year population inputs'!$C$15</definedName>
    <definedName name="frac_PW_health_facility">'Baseline year population inputs'!$C$6</definedName>
    <definedName name="frac_rice">'Baseline year population inputs'!$C$12</definedName>
    <definedName name="frac_SAMtoMAM">'Baseline year population inputs'!$C$49</definedName>
    <definedName name="frac_subsistence_farming">'Baseline year population inputs'!$C$11</definedName>
    <definedName name="frac_wheat">'Baseline year population inputs'!$C$13</definedName>
    <definedName name="infant_mortality">'Baseline year population inputs'!$C$29</definedName>
    <definedName name="iron_deficiency_anaemia">'Baseline year population inputs'!$C$47</definedName>
    <definedName name="maternal_mortality">'Baseline year population inputs'!$C$25</definedName>
    <definedName name="neonatal_mortality">'Baseline year population inputs'!$C$28</definedName>
    <definedName name="preterm_AGA">'Baseline year population inputs'!$C$34</definedName>
    <definedName name="preterm_SGA">'Baseline year population inputs'!$C$33</definedName>
    <definedName name="school_attendance">'Baseline year population inputs'!$C$5</definedName>
    <definedName name="stillbirth">'Baseline year population inputs'!$C$27</definedName>
    <definedName name="term_AGA">'Baseline year population inputs'!$C$36</definedName>
    <definedName name="term_SGA">'Baseline year population inputs'!$C$35</definedName>
    <definedName name="U5_mortality">'Baseline year population inputs'!$C$30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5" l="1"/>
  <c r="D2" i="55"/>
  <c r="E2" i="55"/>
  <c r="E2" i="54" l="1"/>
  <c r="E3" i="54"/>
  <c r="E4" i="54"/>
  <c r="E5" i="54"/>
  <c r="E6" i="54"/>
  <c r="E7" i="54"/>
  <c r="E8" i="54"/>
  <c r="E9" i="54"/>
  <c r="E10" i="54"/>
  <c r="C3" i="53" l="1"/>
  <c r="D3" i="53"/>
  <c r="E3" i="53"/>
  <c r="F3" i="53"/>
  <c r="C2" i="53"/>
  <c r="D2" i="53"/>
  <c r="E2" i="53"/>
  <c r="F2" i="53"/>
  <c r="B3" i="53"/>
  <c r="B2" i="53"/>
  <c r="C48" i="21" l="1"/>
  <c r="L34" i="21"/>
  <c r="L33" i="21"/>
  <c r="L32" i="21"/>
  <c r="L31" i="21"/>
  <c r="L30" i="21"/>
  <c r="L29" i="21"/>
  <c r="L27" i="21"/>
  <c r="L26" i="21"/>
  <c r="L25" i="21"/>
  <c r="L23" i="21"/>
  <c r="L22" i="21"/>
  <c r="O50" i="21" l="1"/>
  <c r="N50" i="21"/>
  <c r="M50" i="21"/>
  <c r="L50" i="21"/>
  <c r="K50" i="21"/>
  <c r="J50" i="21"/>
  <c r="I50" i="21"/>
  <c r="H50" i="21"/>
  <c r="G50" i="21"/>
  <c r="F50" i="21"/>
  <c r="E50" i="21"/>
  <c r="O49" i="21"/>
  <c r="N49" i="21"/>
  <c r="M49" i="21"/>
  <c r="L49" i="21"/>
  <c r="K49" i="21"/>
  <c r="J49" i="21"/>
  <c r="I49" i="21"/>
  <c r="H49" i="21"/>
  <c r="G49" i="21"/>
  <c r="F49" i="21"/>
  <c r="E49" i="21"/>
  <c r="O51" i="21"/>
  <c r="N51" i="21"/>
  <c r="M51" i="21"/>
  <c r="L51" i="21"/>
  <c r="K51" i="21"/>
  <c r="J51" i="21"/>
  <c r="I51" i="21"/>
  <c r="H51" i="21"/>
  <c r="G51" i="21"/>
  <c r="F51" i="21"/>
  <c r="E51" i="21"/>
  <c r="L28" i="21"/>
  <c r="L24" i="21"/>
  <c r="L21" i="21"/>
  <c r="O34" i="21"/>
  <c r="N34" i="21"/>
  <c r="M34" i="21"/>
  <c r="O33" i="21"/>
  <c r="N33" i="21"/>
  <c r="M33" i="21"/>
  <c r="O32" i="21"/>
  <c r="N32" i="21"/>
  <c r="M32" i="21"/>
  <c r="O30" i="21"/>
  <c r="N30" i="21"/>
  <c r="M30" i="21"/>
  <c r="O29" i="21"/>
  <c r="N29" i="21"/>
  <c r="M29" i="21"/>
  <c r="O27" i="21"/>
  <c r="N27" i="21"/>
  <c r="M27" i="21"/>
  <c r="O26" i="21"/>
  <c r="N26" i="21"/>
  <c r="M26" i="21"/>
  <c r="O25" i="21"/>
  <c r="N25" i="21"/>
  <c r="M25" i="21"/>
  <c r="O23" i="21"/>
  <c r="N23" i="21"/>
  <c r="M23" i="21"/>
  <c r="O22" i="21"/>
  <c r="N22" i="21"/>
  <c r="M22" i="21"/>
  <c r="K14" i="21"/>
  <c r="J14" i="21"/>
  <c r="I14" i="21"/>
  <c r="H14" i="21"/>
  <c r="G9" i="21"/>
  <c r="F9" i="21"/>
  <c r="E9" i="21"/>
  <c r="D9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K15" i="21"/>
  <c r="J15" i="21"/>
  <c r="I15" i="21"/>
  <c r="H15" i="21"/>
  <c r="G8" i="21"/>
  <c r="F8" i="21"/>
  <c r="E8" i="21"/>
  <c r="G7" i="21"/>
  <c r="F7" i="21"/>
  <c r="E7" i="21"/>
  <c r="F6" i="21"/>
  <c r="E6" i="21"/>
  <c r="F5" i="21"/>
  <c r="E5" i="21"/>
  <c r="F4" i="21"/>
  <c r="E4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8" i="5"/>
  <c r="F8" i="5"/>
  <c r="E8" i="5"/>
  <c r="D8" i="5"/>
  <c r="C8" i="5"/>
  <c r="G2" i="5"/>
  <c r="F2" i="5"/>
  <c r="E2" i="5"/>
  <c r="D2" i="5"/>
  <c r="C2" i="5"/>
  <c r="G5" i="50"/>
  <c r="F5" i="50"/>
  <c r="E5" i="50"/>
  <c r="D5" i="50"/>
  <c r="C5" i="50"/>
  <c r="C17" i="42"/>
  <c r="C11" i="42"/>
  <c r="C36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  <c r="C15" i="1"/>
  <c r="F6" i="7" l="1"/>
  <c r="E6" i="7"/>
  <c r="D6" i="7"/>
  <c r="C6" i="7"/>
  <c r="D43" i="20" s="1"/>
  <c r="B6" i="7"/>
  <c r="F5" i="7"/>
  <c r="E5" i="7"/>
  <c r="D5" i="7"/>
  <c r="D42" i="20" s="1"/>
  <c r="C5" i="7"/>
  <c r="B5" i="7"/>
  <c r="C10" i="4"/>
  <c r="D12" i="35"/>
  <c r="C12" i="35"/>
  <c r="D11" i="35"/>
  <c r="C11" i="35"/>
  <c r="D10" i="35"/>
  <c r="C10" i="35"/>
  <c r="D9" i="35"/>
  <c r="C9" i="35"/>
  <c r="D8" i="35"/>
  <c r="C8" i="35"/>
  <c r="C6" i="35"/>
  <c r="C5" i="35"/>
  <c r="C4" i="35"/>
  <c r="C3" i="35"/>
  <c r="C2" i="35"/>
  <c r="D5" i="20"/>
  <c r="I3" i="2"/>
  <c r="L3" i="2" s="1"/>
  <c r="I4" i="2"/>
  <c r="L4" i="2" s="1"/>
  <c r="I5" i="2"/>
  <c r="K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K13" i="2" s="1"/>
  <c r="I14" i="2"/>
  <c r="L14" i="2" s="1"/>
  <c r="I15" i="2"/>
  <c r="K15" i="2" s="1"/>
  <c r="I2" i="2"/>
  <c r="K2" i="2" s="1"/>
  <c r="L5" i="2"/>
  <c r="K9" i="2" l="1"/>
  <c r="L13" i="2"/>
  <c r="D6" i="20"/>
  <c r="K4" i="2"/>
  <c r="K12" i="2"/>
  <c r="K7" i="2"/>
  <c r="K11" i="2"/>
  <c r="K3" i="2"/>
  <c r="K8" i="2"/>
  <c r="L15" i="2"/>
  <c r="K6" i="2"/>
  <c r="K14" i="2"/>
  <c r="K10" i="2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0" authorId="0" shapeId="0" xr:uid="{E6FE9035-79F5-D348-97EE-F49116051B84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on severe diarrhoea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H13" authorId="0" shapeId="0" xr:uid="{3CB8C2A1-4C22-D64F-B53D-2771BBF94B58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Could be issue since not at top of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600-000001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assume target pop is WRA &lt;18 years, then this is just  birth age distribution for
</t>
        </r>
        <r>
          <rPr>
            <sz val="9"/>
            <color rgb="FF000000"/>
            <rFont val="Arial"/>
            <family val="2"/>
          </rPr>
          <t xml:space="preserve"> this age
</t>
        </r>
      </text>
    </comment>
    <comment ref="C3" authorId="1" shapeId="0" xr:uid="{00000000-0006-0000-1600-000002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made numbers up for effectiveness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5" authorId="0" shapeId="0" xr:uid="{00000000-0006-0000-0B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2" authorId="0" shapeId="0" xr:uid="{1A209C80-E546-1347-B078-2ECB6F3EF3C8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8" authorId="0" shapeId="0" xr:uid="{00000000-0006-0000-0E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1.5*unit cost of BFP</t>
        </r>
      </text>
    </comment>
    <comment ref="D8" authorId="0" shapeId="0" xr:uid="{00000000-0006-0000-0E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0.5* unit cost of BFP</t>
        </r>
      </text>
    </comment>
    <comment ref="E8" authorId="0" shapeId="0" xr:uid="{00000000-0006-0000-0E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L36" authorId="0" shapeId="0" xr:uid="{6D533BF5-12E4-3646-87A2-3E3EBC745FE1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100% of all non-pregnant WRA?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Ruth</author>
  </authors>
  <commentList>
    <comment ref="A1" authorId="0" shapeId="0" xr:uid="{1AFE157B-E3FD-BD45-977A-B0B0435761C1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  <comment ref="D2" authorId="1" shapeId="0" xr:uid="{00000000-0006-0000-14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Ruth made these numbers up</t>
        </r>
      </text>
    </comment>
  </commentList>
</comments>
</file>

<file path=xl/sharedStrings.xml><?xml version="1.0" encoding="utf-8"?>
<sst xmlns="http://schemas.openxmlformats.org/spreadsheetml/2006/main" count="383" uniqueCount="238">
  <si>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</si>
  <si>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</si>
  <si>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</si>
  <si>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</si>
  <si>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</si>
  <si>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</si>
  <si>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</si>
  <si>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</si>
  <si>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</si>
  <si>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</si>
  <si>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</si>
  <si>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</si>
  <si>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</si>
  <si>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</si>
  <si>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</si>
  <si>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</si>
  <si>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</si>
  <si>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</si>
  <si>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</si>
  <si>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</si>
  <si>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</si>
  <si>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</si>
  <si>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</si>
  <si>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</si>
  <si>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</si>
  <si>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</si>
  <si>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</si>
  <si>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</si>
  <si>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</si>
  <si>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</si>
  <si>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</si>
  <si>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</si>
  <si>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</si>
  <si>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</si>
  <si>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</si>
  <si>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</si>
  <si>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</si>
  <si>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</si>
  <si>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</si>
  <si>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</si>
  <si>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</si>
  <si>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</si>
  <si>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</si>
  <si>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</si>
  <si>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</si>
  <si>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</si>
  <si>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</si>
  <si>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</si>
  <si>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</si>
  <si>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</si>
  <si>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</si>
  <si>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</si>
  <si>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</si>
  <si>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</si>
  <si>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</si>
  <si>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</si>
  <si>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All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</si>
  <si>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</si>
  <si>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</si>
  <si>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</si>
  <si>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</si>
  <si>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</si>
  <si>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</si>
  <si>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</si>
  <si>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</si>
  <si>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</si>
  <si>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</si>
  <si>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</si>
  <si>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</si>
  <si>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</si>
  <si>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</si>
  <si>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</si>
  <si>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</si>
  <si>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</si>
  <si>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</si>
  <si>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</si>
  <si>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</si>
  <si>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</si>
  <si>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</si>
  <si>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</si>
  <si>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</si>
  <si>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</si>
  <si>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</si>
  <si>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</si>
  <si>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</si>
  <si>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</si>
  <si>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</si>
  <si>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</si>
  <si>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</si>
  <si>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</si>
  <si>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</si>
  <si>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</si>
  <si>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</si>
  <si>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</si>
  <si>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MAM</t>
  </si>
  <si>
    <t>Treatment of SAM</t>
  </si>
  <si>
    <t>Health facility</t>
  </si>
  <si>
    <t>Community</t>
  </si>
  <si>
    <t>Target population</t>
  </si>
  <si>
    <t>IYCF package</t>
  </si>
  <si>
    <t>IYCF 1</t>
  </si>
  <si>
    <t>IYCF 2</t>
  </si>
  <si>
    <t>IYCF 3</t>
  </si>
  <si>
    <t>Mass media</t>
  </si>
  <si>
    <t>x</t>
  </si>
  <si>
    <t>Package information</t>
  </si>
  <si>
    <t>Target populations</t>
  </si>
  <si>
    <t>Unit costs</t>
  </si>
  <si>
    <t>Family Planning</t>
  </si>
  <si>
    <t>Prevalence of iron deficiency anaemia</t>
  </si>
  <si>
    <t>Program</t>
  </si>
  <si>
    <t>Anaemia</t>
  </si>
  <si>
    <t>baseline coverage</t>
  </si>
  <si>
    <t>Diarrhoea</t>
  </si>
  <si>
    <t>Diarrhoea incidence</t>
  </si>
  <si>
    <t>Severe diarrhoea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</si>
  <si>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</si>
  <si>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</si>
  <si>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</si>
  <si>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</si>
  <si>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</si>
  <si>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</si>
  <si>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</si>
  <si>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</si>
  <si>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</si>
  <si>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</si>
  <si>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</si>
  <si>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</si>
  <si>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</si>
  <si>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</si>
  <si>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</si>
  <si>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</si>
  <si>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</si>
  <si>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</si>
  <si>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</si>
  <si>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</si>
  <si>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</si>
  <si>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</si>
  <si>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</si>
  <si>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</si>
  <si>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</si>
  <si>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</si>
  <si>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Birth age program</t>
  </si>
  <si>
    <t>Calculated in model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</si>
  <si>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</si>
  <si>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</si>
  <si>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</si>
  <si>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</si>
  <si>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</si>
  <si>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Maternal mortality (per 100,000 live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</si>
  <si>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</si>
  <si>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</si>
  <si>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</si>
  <si>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</si>
  <si>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</si>
  <si>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</si>
  <si>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</si>
  <si>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</si>
  <si>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</si>
  <si>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</si>
  <si>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</si>
  <si>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</si>
  <si>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</si>
  <si>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</si>
  <si>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</si>
  <si>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</si>
  <si>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</si>
  <si>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</si>
  <si>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Total population</t>
  </si>
  <si>
    <t>Number of births</t>
  </si>
  <si>
    <t>Children under 5</t>
  </si>
  <si>
    <t>Total WRA</t>
  </si>
  <si>
    <t>Percentage of deaths in baseline year attributable to cause</t>
  </si>
  <si>
    <t>Percentage of children in each category in baseline year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</si>
  <si>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</si>
  <si>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</si>
  <si>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</si>
  <si>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</si>
  <si>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</si>
  <si>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</si>
  <si>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</si>
  <si>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</si>
  <si>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</si>
  <si>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</si>
  <si>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Percentage of births in category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</si>
  <si>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</si>
  <si>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</si>
  <si>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</si>
  <si>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</si>
  <si>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</si>
  <si>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</si>
  <si>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</si>
  <si>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</si>
  <si>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Teenage percentage of WRA</t>
  </si>
  <si>
    <t>Estimated pregnant women</t>
  </si>
  <si>
    <t>Prevalence of anaemia</t>
  </si>
  <si>
    <t>Percentage of anaemia that is iron deficient</t>
  </si>
  <si>
    <t>Percentage of population in each category in baseline year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</si>
  <si>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</si>
  <si>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</si>
  <si>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</si>
  <si>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</si>
  <si>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</si>
  <si>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</si>
  <si>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Lipid-based nutrition supplements (malaria area)</t>
  </si>
  <si>
    <t>Micronutrient powders</t>
  </si>
  <si>
    <t>Micronutrient powders (malaria area)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</si>
  <si>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</si>
  <si>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</si>
  <si>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</si>
  <si>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</si>
  <si>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</si>
  <si>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</si>
  <si>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</si>
  <si>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</si>
  <si>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</si>
  <si>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</si>
  <si>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Maternal (deaths per 100,000 births)</t>
  </si>
  <si>
    <t>Under five (deaths per 1,000 births)</t>
  </si>
  <si>
    <t xml:space="preserve">Mortality 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</si>
  <si>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</si>
  <si>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</si>
  <si>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</si>
  <si>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</si>
  <si>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</si>
  <si>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</si>
  <si>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</si>
  <si>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</si>
  <si>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</si>
  <si>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</si>
  <si>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</si>
  <si>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</si>
  <si>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</si>
  <si>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</si>
  <si>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</si>
  <si>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effectiveness</t>
  </si>
  <si>
    <t>affected fraction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</si>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</sst>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1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/>
    <xf numFmtId="0" fontId="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3" borderId="0" xfId="0" applyFont="1" applyFill="1" applyAlignment="1"/>
    <xf numFmtId="0" fontId="11" fillId="0" borderId="0" xfId="0" applyFont="1" applyAlignment="1"/>
    <xf numFmtId="0" fontId="11" fillId="0" borderId="0" xfId="0" applyFont="1" applyFill="1" applyBorder="1" applyAlignment="1"/>
    <xf numFmtId="0" fontId="7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10" fontId="0" fillId="0" borderId="0" xfId="0" applyNumberFormat="1" applyFont="1" applyAlignment="1"/>
    <xf numFmtId="0" fontId="7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3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/>
    </xf>
    <xf numFmtId="43" fontId="3" fillId="0" borderId="0" xfId="0" applyNumberFormat="1" applyFont="1" applyAlignment="1"/>
    <xf numFmtId="164" fontId="3" fillId="0" borderId="0" xfId="0" applyNumberFormat="1" applyFont="1" applyAlignment="1"/>
    <xf numFmtId="0" fontId="7" fillId="0" borderId="0" xfId="0" applyFont="1" applyAlignment="1">
      <alignment horizontal="right"/>
    </xf>
    <xf numFmtId="9" fontId="3" fillId="2" borderId="1" xfId="10" applyFont="1" applyFill="1" applyBorder="1" applyAlignment="1"/>
    <xf numFmtId="9" fontId="3" fillId="2" borderId="1" xfId="10" applyFont="1" applyFill="1" applyBorder="1" applyAlignment="1">
      <alignment horizontal="right"/>
    </xf>
    <xf numFmtId="0" fontId="3" fillId="2" borderId="1" xfId="0" applyFont="1" applyFill="1" applyBorder="1" applyAlignment="1"/>
    <xf numFmtId="9" fontId="8" fillId="6" borderId="1" xfId="10" applyFont="1" applyFill="1" applyBorder="1" applyAlignment="1"/>
    <xf numFmtId="0" fontId="13" fillId="0" borderId="0" xfId="0" applyFont="1" applyAlignment="1">
      <alignment horizontal="right"/>
    </xf>
    <xf numFmtId="0" fontId="3" fillId="0" borderId="0" xfId="0" applyFont="1" applyAlignment="1">
      <alignment wrapText="1"/>
    </xf>
    <xf numFmtId="164" fontId="3" fillId="2" borderId="1" xfId="0" applyNumberFormat="1" applyFont="1" applyFill="1" applyBorder="1" applyAlignment="1"/>
    <xf numFmtId="164" fontId="8" fillId="6" borderId="1" xfId="9" applyNumberFormat="1" applyFont="1" applyFill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10" fontId="2" fillId="2" borderId="1" xfId="0" applyNumberFormat="1" applyFont="1" applyFill="1" applyBorder="1" applyAlignment="1">
      <alignment horizontal="right"/>
    </xf>
    <xf numFmtId="1" fontId="8" fillId="6" borderId="1" xfId="9" applyNumberFormat="1" applyFont="1" applyFill="1" applyBorder="1" applyAlignment="1">
      <alignment horizontal="right"/>
    </xf>
    <xf numFmtId="10" fontId="3" fillId="2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right" wrapText="1"/>
    </xf>
    <xf numFmtId="165" fontId="8" fillId="6" borderId="1" xfId="9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166" fontId="3" fillId="2" borderId="1" xfId="0" applyNumberFormat="1" applyFont="1" applyFill="1" applyBorder="1" applyAlignment="1">
      <alignment horizontal="right"/>
    </xf>
    <xf numFmtId="166" fontId="3" fillId="0" borderId="0" xfId="0" applyNumberFormat="1" applyFont="1" applyAlignment="1"/>
    <xf numFmtId="0" fontId="2" fillId="0" borderId="0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6" fontId="3" fillId="2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wrapText="1"/>
    </xf>
    <xf numFmtId="9" fontId="8" fillId="6" borderId="1" xfId="10" applyFont="1" applyFill="1" applyBorder="1" applyAlignment="1">
      <alignment horizontal="right"/>
    </xf>
    <xf numFmtId="0" fontId="14" fillId="0" borderId="0" xfId="0" applyFont="1" applyAlignment="1">
      <alignment horizontal="right" vertical="center"/>
    </xf>
    <xf numFmtId="0" fontId="2" fillId="0" borderId="0" xfId="0" applyFont="1" applyAlignment="1">
      <alignment horizontal="left" indent="1"/>
    </xf>
    <xf numFmtId="166" fontId="8" fillId="6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3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1" xfId="0" applyFont="1" applyFill="1" applyBorder="1" applyAlignment="1"/>
    <xf numFmtId="2" fontId="3" fillId="3" borderId="1" xfId="0" applyNumberFormat="1" applyFont="1" applyFill="1" applyBorder="1" applyAlignment="1"/>
    <xf numFmtId="0" fontId="3" fillId="3" borderId="0" xfId="0" applyFont="1" applyFill="1" applyAlignment="1">
      <alignment horizontal="right" wrapText="1"/>
    </xf>
    <xf numFmtId="164" fontId="8" fillId="3" borderId="1" xfId="9" applyNumberFormat="1" applyFont="1" applyFill="1" applyBorder="1" applyAlignment="1"/>
    <xf numFmtId="10" fontId="8" fillId="3" borderId="1" xfId="10" applyNumberFormat="1" applyFont="1" applyFill="1" applyBorder="1" applyAlignment="1"/>
    <xf numFmtId="0" fontId="0" fillId="3" borderId="1" xfId="0" applyFont="1" applyFill="1" applyBorder="1" applyAlignment="1"/>
    <xf numFmtId="2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8" fillId="6" borderId="0" xfId="0" applyFont="1" applyFill="1" applyBorder="1" applyAlignment="1"/>
    <xf numFmtId="2" fontId="8" fillId="6" borderId="1" xfId="0" applyNumberFormat="1" applyFont="1" applyFill="1" applyBorder="1" applyAlignment="1"/>
    <xf numFmtId="2" fontId="2" fillId="2" borderId="1" xfId="0" applyNumberFormat="1" applyFont="1" applyFill="1" applyBorder="1" applyAlignment="1"/>
    <xf numFmtId="2" fontId="3" fillId="2" borderId="1" xfId="0" applyNumberFormat="1" applyFont="1" applyFill="1" applyBorder="1" applyAlignment="1"/>
    <xf numFmtId="2" fontId="2" fillId="5" borderId="1" xfId="0" applyNumberFormat="1" applyFont="1" applyFill="1" applyBorder="1" applyAlignment="1"/>
    <xf numFmtId="2" fontId="3" fillId="5" borderId="1" xfId="0" applyNumberFormat="1" applyFont="1" applyFill="1" applyBorder="1" applyAlignment="1"/>
    <xf numFmtId="0" fontId="0" fillId="4" borderId="5" xfId="0" applyFont="1" applyFill="1" applyBorder="1" applyAlignment="1"/>
    <xf numFmtId="0" fontId="0" fillId="4" borderId="7" xfId="0" applyFont="1" applyFill="1" applyBorder="1" applyAlignment="1"/>
    <xf numFmtId="0" fontId="0" fillId="4" borderId="9" xfId="0" applyFont="1" applyFill="1" applyBorder="1" applyAlignment="1"/>
    <xf numFmtId="0" fontId="3" fillId="0" borderId="0" xfId="725" applyFont="1" applyAlignment="1"/>
    <xf numFmtId="0" fontId="3" fillId="0" borderId="0" xfId="725" applyFont="1" applyFill="1" applyAlignment="1"/>
    <xf numFmtId="0" fontId="3" fillId="0" borderId="0" xfId="725" applyNumberFormat="1" applyFont="1" applyFill="1" applyAlignment="1"/>
    <xf numFmtId="0" fontId="19" fillId="0" borderId="0" xfId="725" applyNumberFormat="1" applyFont="1" applyAlignment="1"/>
    <xf numFmtId="0" fontId="19" fillId="0" borderId="0" xfId="725" applyFont="1" applyAlignment="1"/>
    <xf numFmtId="0" fontId="7" fillId="0" borderId="0" xfId="725" applyFont="1" applyAlignment="1"/>
    <xf numFmtId="9" fontId="2" fillId="2" borderId="1" xfId="0" applyNumberFormat="1" applyFont="1" applyFill="1" applyBorder="1" applyAlignment="1"/>
    <xf numFmtId="9" fontId="3" fillId="2" borderId="1" xfId="0" applyNumberFormat="1" applyFont="1" applyFill="1" applyBorder="1" applyAlignment="1"/>
    <xf numFmtId="9" fontId="2" fillId="5" borderId="1" xfId="0" applyNumberFormat="1" applyFont="1" applyFill="1" applyBorder="1" applyAlignment="1"/>
    <xf numFmtId="9" fontId="3" fillId="5" borderId="1" xfId="0" applyNumberFormat="1" applyFont="1" applyFill="1" applyBorder="1" applyAlignment="1"/>
    <xf numFmtId="4" fontId="2" fillId="0" borderId="0" xfId="725" applyNumberFormat="1" applyFont="1"/>
    <xf numFmtId="4" fontId="2" fillId="0" borderId="0" xfId="725" applyNumberFormat="1" applyFont="1" applyFill="1" applyBorder="1"/>
    <xf numFmtId="0" fontId="3" fillId="0" borderId="0" xfId="725" applyFont="1" applyBorder="1" applyAlignment="1"/>
    <xf numFmtId="0" fontId="1" fillId="0" borderId="0" xfId="725" applyFont="1" applyAlignment="1"/>
    <xf numFmtId="0" fontId="1" fillId="0" borderId="0" xfId="725" applyFont="1" applyFill="1" applyBorder="1" applyAlignment="1">
      <alignment horizontal="right" wrapText="1"/>
    </xf>
    <xf numFmtId="0" fontId="7" fillId="0" borderId="0" xfId="725" applyFont="1" applyBorder="1" applyAlignment="1"/>
  </cellXfs>
  <cellStyles count="726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C4319F0F-8966-3441-8D44-6E4833EF1C8F}"/>
    <cellStyle name="Percent" xfId="10" builtinId="5"/>
  </cellStyles>
  <dxfs count="0"/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3"/>
  <sheetViews>
    <sheetView topLeftCell="A12" zoomScaleNormal="100" workbookViewId="0">
      <selection activeCell="A51" sqref="A51"/>
    </sheetView>
  </sheetViews>
  <sheetFormatPr baseColWidth="10" defaultColWidth="14.5" defaultRowHeight="15.75" customHeight="1" x14ac:dyDescent="0.15"/>
  <cols>
    <col min="1" max="1" width="27.6640625" style="31" customWidth="1"/>
    <col min="2" max="2" width="38.6640625" style="36" customWidth="1"/>
    <col min="3" max="16384" width="14.5" style="31"/>
  </cols>
  <sheetData>
    <row r="1" spans="1:3" ht="16" customHeight="1" x14ac:dyDescent="0.15">
      <c r="A1" s="1" t="s">
        <v>156</v>
      </c>
      <c r="B1" s="39"/>
      <c r="C1" s="39"/>
    </row>
    <row r="2" spans="1:3" ht="15" customHeight="1" x14ac:dyDescent="0.15">
      <c r="A2" s="31" t="s">
        <v>57</v>
      </c>
    </row>
    <row r="3" spans="1:3" ht="15" customHeight="1" x14ac:dyDescent="0.15">
      <c r="B3" s="10" t="s">
        <v>162</v>
      </c>
      <c r="C3" s="41">
        <v>0.36</v>
      </c>
    </row>
    <row r="4" spans="1:3" ht="15" customHeight="1" x14ac:dyDescent="0.15">
      <c r="B4" s="26" t="s">
        <v>163</v>
      </c>
      <c r="C4" s="40">
        <v>0.1</v>
      </c>
    </row>
    <row r="5" spans="1:3" ht="15" customHeight="1" x14ac:dyDescent="0.15">
      <c r="B5" s="26" t="s">
        <v>161</v>
      </c>
      <c r="C5" s="40">
        <v>0.35199999999999998</v>
      </c>
    </row>
    <row r="6" spans="1:3" ht="15" customHeight="1" x14ac:dyDescent="0.15">
      <c r="B6" s="10" t="s">
        <v>164</v>
      </c>
      <c r="C6" s="41">
        <v>0.5</v>
      </c>
    </row>
    <row r="7" spans="1:3" ht="15" customHeight="1" x14ac:dyDescent="0.15">
      <c r="B7" s="10" t="s">
        <v>165</v>
      </c>
      <c r="C7" s="41">
        <v>0.3</v>
      </c>
    </row>
    <row r="8" spans="1:3" ht="15" customHeight="1" x14ac:dyDescent="0.15">
      <c r="B8" s="10" t="s">
        <v>166</v>
      </c>
      <c r="C8" s="41">
        <v>0.1</v>
      </c>
    </row>
    <row r="9" spans="1:3" ht="15" customHeight="1" x14ac:dyDescent="0.15">
      <c r="B9" s="31"/>
    </row>
    <row r="10" spans="1:3" ht="15" customHeight="1" x14ac:dyDescent="0.15">
      <c r="A10" s="31" t="s">
        <v>34</v>
      </c>
      <c r="B10" s="39"/>
      <c r="C10" s="3"/>
    </row>
    <row r="11" spans="1:3" ht="15" customHeight="1" x14ac:dyDescent="0.15">
      <c r="B11" s="26" t="s">
        <v>150</v>
      </c>
      <c r="C11" s="40">
        <v>0.3</v>
      </c>
    </row>
    <row r="12" spans="1:3" ht="15" customHeight="1" x14ac:dyDescent="0.15">
      <c r="B12" s="26" t="s">
        <v>151</v>
      </c>
      <c r="C12" s="40">
        <v>0.8</v>
      </c>
    </row>
    <row r="13" spans="1:3" ht="15" customHeight="1" x14ac:dyDescent="0.15">
      <c r="B13" s="26" t="s">
        <v>152</v>
      </c>
      <c r="C13" s="40">
        <v>0.12</v>
      </c>
    </row>
    <row r="14" spans="1:3" ht="15" customHeight="1" x14ac:dyDescent="0.15">
      <c r="B14" s="26" t="s">
        <v>153</v>
      </c>
      <c r="C14" s="40">
        <v>0.05</v>
      </c>
    </row>
    <row r="15" spans="1:3" ht="15" customHeight="1" x14ac:dyDescent="0.15">
      <c r="B15" s="26" t="s">
        <v>154</v>
      </c>
      <c r="C15" s="43">
        <f>1-frac_rice-frac_wheat-frac_maize</f>
        <v>2.9999999999999957E-2</v>
      </c>
    </row>
    <row r="16" spans="1:3" ht="15" customHeight="1" x14ac:dyDescent="0.15">
      <c r="B16" s="31"/>
    </row>
    <row r="17" spans="1:5" ht="15" customHeight="1" x14ac:dyDescent="0.15">
      <c r="A17" s="31" t="s">
        <v>155</v>
      </c>
    </row>
    <row r="18" spans="1:5" ht="15" customHeight="1" x14ac:dyDescent="0.15">
      <c r="B18" s="44" t="s">
        <v>157</v>
      </c>
      <c r="C18" s="40">
        <v>0.29978973218277538</v>
      </c>
    </row>
    <row r="19" spans="1:5" ht="15" customHeight="1" x14ac:dyDescent="0.15">
      <c r="B19" s="44" t="s">
        <v>158</v>
      </c>
      <c r="C19" s="40">
        <v>0.52556568434139284</v>
      </c>
    </row>
    <row r="20" spans="1:5" ht="15" customHeight="1" x14ac:dyDescent="0.15">
      <c r="B20" s="44" t="s">
        <v>159</v>
      </c>
      <c r="C20" s="40">
        <v>0.16210210664201097</v>
      </c>
    </row>
    <row r="21" spans="1:5" ht="15" customHeight="1" x14ac:dyDescent="0.15">
      <c r="B21" s="44" t="s">
        <v>160</v>
      </c>
      <c r="C21" s="40">
        <v>1.2542476833820825E-2</v>
      </c>
    </row>
    <row r="22" spans="1:5" ht="15" customHeight="1" x14ac:dyDescent="0.15"/>
    <row r="23" spans="1:5" ht="15" customHeight="1" x14ac:dyDescent="0.15">
      <c r="A23" s="4" t="s">
        <v>202</v>
      </c>
    </row>
    <row r="24" spans="1:5" ht="15" customHeight="1" x14ac:dyDescent="0.15">
      <c r="A24" s="31" t="s">
        <v>117</v>
      </c>
      <c r="B24" s="10"/>
      <c r="C24" s="32"/>
    </row>
    <row r="25" spans="1:5" ht="15" customHeight="1" x14ac:dyDescent="0.15">
      <c r="B25" s="36" t="s">
        <v>149</v>
      </c>
      <c r="C25" s="42">
        <v>176</v>
      </c>
    </row>
    <row r="26" spans="1:5" ht="15" customHeight="1" x14ac:dyDescent="0.15">
      <c r="B26" s="36" t="s">
        <v>144</v>
      </c>
      <c r="C26" s="40">
        <v>0.13</v>
      </c>
    </row>
    <row r="27" spans="1:5" ht="15" customHeight="1" x14ac:dyDescent="0.15">
      <c r="B27" s="73" t="s">
        <v>148</v>
      </c>
      <c r="C27" s="74">
        <v>25.36</v>
      </c>
    </row>
    <row r="28" spans="1:5" ht="15" customHeight="1" x14ac:dyDescent="0.15">
      <c r="B28" s="73" t="s">
        <v>147</v>
      </c>
      <c r="C28" s="75">
        <v>25.4</v>
      </c>
    </row>
    <row r="29" spans="1:5" ht="15" customHeight="1" x14ac:dyDescent="0.15">
      <c r="B29" s="36" t="s">
        <v>146</v>
      </c>
      <c r="C29" s="42">
        <v>34.68</v>
      </c>
      <c r="D29" s="37"/>
      <c r="E29" s="38"/>
    </row>
    <row r="30" spans="1:5" ht="15" customHeight="1" x14ac:dyDescent="0.15">
      <c r="B30" s="36" t="s">
        <v>145</v>
      </c>
      <c r="C30" s="42">
        <v>39.32</v>
      </c>
      <c r="D30" s="37"/>
      <c r="E30" s="37"/>
    </row>
    <row r="31" spans="1:5" ht="15.75" customHeight="1" x14ac:dyDescent="0.15">
      <c r="D31" s="37"/>
    </row>
    <row r="32" spans="1:5" ht="15.75" customHeight="1" x14ac:dyDescent="0.15">
      <c r="A32" s="31" t="s">
        <v>198</v>
      </c>
      <c r="D32" s="37"/>
    </row>
    <row r="33" spans="1:5" ht="15.75" customHeight="1" x14ac:dyDescent="0.15">
      <c r="B33" s="36" t="s">
        <v>9</v>
      </c>
      <c r="C33" s="40">
        <v>3.1E-2</v>
      </c>
      <c r="D33" s="37"/>
    </row>
    <row r="34" spans="1:5" ht="15.75" customHeight="1" x14ac:dyDescent="0.15">
      <c r="B34" s="36" t="s">
        <v>11</v>
      </c>
      <c r="C34" s="40">
        <v>0.109</v>
      </c>
      <c r="D34" s="37"/>
    </row>
    <row r="35" spans="1:5" ht="15.75" customHeight="1" x14ac:dyDescent="0.15">
      <c r="B35" s="36" t="s">
        <v>12</v>
      </c>
      <c r="C35" s="40">
        <v>0.36499999999999999</v>
      </c>
      <c r="D35" s="37"/>
      <c r="E35" s="38"/>
    </row>
    <row r="36" spans="1:5" ht="15" customHeight="1" x14ac:dyDescent="0.15">
      <c r="B36" s="36" t="s">
        <v>30</v>
      </c>
      <c r="C36" s="43">
        <f>1-term_SGA-preterm_AGA-preterm_SGA</f>
        <v>0.495</v>
      </c>
      <c r="D36" s="37"/>
      <c r="E36" s="37"/>
    </row>
    <row r="37" spans="1:5" ht="15.75" customHeight="1" x14ac:dyDescent="0.15">
      <c r="D37" s="37"/>
    </row>
    <row r="38" spans="1:5" ht="15.75" customHeight="1" x14ac:dyDescent="0.15">
      <c r="A38" s="31" t="s">
        <v>114</v>
      </c>
      <c r="D38" s="37"/>
    </row>
    <row r="39" spans="1:5" ht="15.75" customHeight="1" x14ac:dyDescent="0.15">
      <c r="B39" s="36" t="s">
        <v>187</v>
      </c>
      <c r="C39" s="8">
        <v>2.4300000000000002</v>
      </c>
      <c r="D39" s="37"/>
    </row>
    <row r="40" spans="1:5" ht="15" customHeight="1" x14ac:dyDescent="0.15">
      <c r="B40" s="36" t="s">
        <v>188</v>
      </c>
      <c r="C40" s="8">
        <v>2.4300000000000002</v>
      </c>
    </row>
    <row r="41" spans="1:5" ht="15.75" customHeight="1" x14ac:dyDescent="0.15">
      <c r="B41" s="36" t="s">
        <v>189</v>
      </c>
      <c r="C41" s="8">
        <v>3.71</v>
      </c>
    </row>
    <row r="42" spans="1:5" ht="15.75" customHeight="1" x14ac:dyDescent="0.15">
      <c r="B42" s="36" t="s">
        <v>190</v>
      </c>
      <c r="C42" s="8">
        <v>3</v>
      </c>
    </row>
    <row r="43" spans="1:5" ht="15.75" customHeight="1" x14ac:dyDescent="0.15">
      <c r="B43" s="36" t="s">
        <v>191</v>
      </c>
      <c r="C43" s="8">
        <v>1.92</v>
      </c>
    </row>
    <row r="45" spans="1:5" ht="15.75" customHeight="1" x14ac:dyDescent="0.15">
      <c r="A45" s="31" t="s">
        <v>199</v>
      </c>
    </row>
    <row r="46" spans="1:5" ht="15.75" customHeight="1" x14ac:dyDescent="0.15">
      <c r="B46" s="10" t="s">
        <v>167</v>
      </c>
      <c r="C46" s="41">
        <v>0.2</v>
      </c>
    </row>
    <row r="47" spans="1:5" ht="15.75" customHeight="1" x14ac:dyDescent="0.15">
      <c r="B47" s="36" t="s">
        <v>196</v>
      </c>
      <c r="C47" s="41">
        <v>0.42</v>
      </c>
    </row>
    <row r="48" spans="1:5" ht="15.75" customHeight="1" x14ac:dyDescent="0.15">
      <c r="B48" s="36" t="s">
        <v>200</v>
      </c>
      <c r="C48" s="41">
        <v>0.9</v>
      </c>
    </row>
    <row r="49" spans="1:3" ht="15.75" customHeight="1" x14ac:dyDescent="0.15">
      <c r="B49" s="36" t="s">
        <v>201</v>
      </c>
      <c r="C49" s="41">
        <v>0.1</v>
      </c>
    </row>
    <row r="53" spans="1:3" ht="15.75" customHeight="1" x14ac:dyDescent="0.15">
      <c r="A53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B49" sqref="B49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25" t="s">
        <v>172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36</v>
      </c>
    </row>
    <row r="2" spans="1:7" ht="15.75" customHeight="1" x14ac:dyDescent="0.15">
      <c r="A2" s="49" t="s">
        <v>116</v>
      </c>
      <c r="B2" s="50">
        <v>7.0000000000000001E-3</v>
      </c>
      <c r="C2" s="51">
        <v>0</v>
      </c>
      <c r="D2" s="51">
        <v>0</v>
      </c>
      <c r="E2" s="51">
        <v>0</v>
      </c>
      <c r="F2" s="51">
        <v>0</v>
      </c>
      <c r="G2" s="51">
        <v>0</v>
      </c>
    </row>
    <row r="3" spans="1:7" ht="15.75" customHeight="1" x14ac:dyDescent="0.15">
      <c r="A3" s="49" t="s">
        <v>7</v>
      </c>
      <c r="B3" s="50">
        <v>0.19900000000000001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</row>
    <row r="4" spans="1:7" ht="15.75" customHeight="1" x14ac:dyDescent="0.15">
      <c r="A4" s="49" t="s">
        <v>8</v>
      </c>
      <c r="B4" s="50">
        <v>5.8999999999999997E-2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</row>
    <row r="5" spans="1:7" ht="15.75" customHeight="1" x14ac:dyDescent="0.15">
      <c r="A5" s="49" t="s">
        <v>10</v>
      </c>
      <c r="B5" s="50">
        <v>0.22900000000000001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ht="15.75" customHeight="1" x14ac:dyDescent="0.15">
      <c r="A6" s="49" t="s">
        <v>13</v>
      </c>
      <c r="B6" s="50">
        <v>0.29699999999999999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</row>
    <row r="7" spans="1:7" ht="15.75" customHeight="1" x14ac:dyDescent="0.15">
      <c r="A7" s="49" t="s">
        <v>14</v>
      </c>
      <c r="B7" s="50">
        <v>6.0000000000000001E-3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ht="15.75" customHeight="1" x14ac:dyDescent="0.15">
      <c r="A8" s="49" t="s">
        <v>31</v>
      </c>
      <c r="B8" s="50">
        <v>0.127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</row>
    <row r="9" spans="1:7" ht="15.75" customHeight="1" x14ac:dyDescent="0.15">
      <c r="A9" s="49" t="s">
        <v>15</v>
      </c>
      <c r="B9" s="50">
        <v>7.5999999999999998E-2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</row>
    <row r="10" spans="1:7" ht="15.75" customHeight="1" x14ac:dyDescent="0.15">
      <c r="A10" s="49" t="s">
        <v>113</v>
      </c>
      <c r="B10" s="51">
        <v>0</v>
      </c>
      <c r="C10" s="50">
        <f>14.81% * 0.2</f>
        <v>2.9620000000000004E-2</v>
      </c>
      <c r="D10" s="50">
        <v>0.14810000000000001</v>
      </c>
      <c r="E10" s="50">
        <v>0.14810000000000001</v>
      </c>
      <c r="F10" s="50">
        <v>0.14810000000000001</v>
      </c>
      <c r="G10" s="51">
        <v>0</v>
      </c>
    </row>
    <row r="11" spans="1:7" ht="15.75" customHeight="1" x14ac:dyDescent="0.15">
      <c r="A11" s="49" t="s">
        <v>16</v>
      </c>
      <c r="B11" s="51">
        <v>0</v>
      </c>
      <c r="C11" s="50">
        <v>0.2883</v>
      </c>
      <c r="D11" s="50">
        <v>0.2883</v>
      </c>
      <c r="E11" s="50">
        <v>0.2883</v>
      </c>
      <c r="F11" s="50">
        <v>0.2883</v>
      </c>
      <c r="G11" s="51">
        <v>0</v>
      </c>
    </row>
    <row r="12" spans="1:7" ht="15.75" customHeight="1" x14ac:dyDescent="0.15">
      <c r="A12" s="49" t="s">
        <v>17</v>
      </c>
      <c r="B12" s="51">
        <v>0</v>
      </c>
      <c r="C12" s="50">
        <v>4.1000000000000002E-2</v>
      </c>
      <c r="D12" s="50">
        <v>4.1000000000000002E-2</v>
      </c>
      <c r="E12" s="50">
        <v>4.1000000000000002E-2</v>
      </c>
      <c r="F12" s="50">
        <v>4.1000000000000002E-2</v>
      </c>
      <c r="G12" s="51">
        <v>0</v>
      </c>
    </row>
    <row r="13" spans="1:7" ht="15.75" customHeight="1" x14ac:dyDescent="0.15">
      <c r="A13" s="49" t="s">
        <v>18</v>
      </c>
      <c r="B13" s="51">
        <v>0</v>
      </c>
      <c r="C13" s="50">
        <v>5.0099999999999999E-2</v>
      </c>
      <c r="D13" s="50">
        <v>5.0099999999999999E-2</v>
      </c>
      <c r="E13" s="50">
        <v>5.0099999999999999E-2</v>
      </c>
      <c r="F13" s="50">
        <v>5.0099999999999999E-2</v>
      </c>
      <c r="G13" s="51">
        <v>0</v>
      </c>
    </row>
    <row r="14" spans="1:7" ht="15.75" customHeight="1" x14ac:dyDescent="0.15">
      <c r="A14" s="49" t="s">
        <v>19</v>
      </c>
      <c r="B14" s="51">
        <v>0</v>
      </c>
      <c r="C14" s="50">
        <v>6.0000000000000001E-3</v>
      </c>
      <c r="D14" s="50">
        <v>6.0000000000000001E-3</v>
      </c>
      <c r="E14" s="50">
        <v>6.0000000000000001E-3</v>
      </c>
      <c r="F14" s="50">
        <v>6.0000000000000001E-3</v>
      </c>
      <c r="G14" s="51">
        <v>0</v>
      </c>
    </row>
    <row r="15" spans="1:7" ht="15.75" customHeight="1" x14ac:dyDescent="0.15">
      <c r="A15" s="49" t="s">
        <v>20</v>
      </c>
      <c r="B15" s="51">
        <v>0</v>
      </c>
      <c r="C15" s="50">
        <v>0.01</v>
      </c>
      <c r="D15" s="50">
        <v>0.01</v>
      </c>
      <c r="E15" s="50">
        <v>0.01</v>
      </c>
      <c r="F15" s="50">
        <v>0.01</v>
      </c>
      <c r="G15" s="51">
        <v>0</v>
      </c>
    </row>
    <row r="16" spans="1:7" ht="15.75" customHeight="1" x14ac:dyDescent="0.15">
      <c r="A16" s="49" t="s">
        <v>21</v>
      </c>
      <c r="B16" s="51">
        <v>0</v>
      </c>
      <c r="C16" s="50">
        <v>0</v>
      </c>
      <c r="D16" s="50">
        <v>0</v>
      </c>
      <c r="E16" s="50">
        <v>0</v>
      </c>
      <c r="F16" s="50">
        <v>0</v>
      </c>
      <c r="G16" s="51">
        <v>0</v>
      </c>
    </row>
    <row r="17" spans="1:7" ht="15.75" customHeight="1" x14ac:dyDescent="0.15">
      <c r="A17" s="49" t="s">
        <v>22</v>
      </c>
      <c r="B17" s="51">
        <v>0</v>
      </c>
      <c r="C17" s="50">
        <v>0.14510000000000001</v>
      </c>
      <c r="D17" s="50">
        <v>0.14510000000000001</v>
      </c>
      <c r="E17" s="50">
        <v>0.14510000000000001</v>
      </c>
      <c r="F17" s="50">
        <v>0.14510000000000001</v>
      </c>
      <c r="G17" s="51">
        <v>0</v>
      </c>
    </row>
    <row r="18" spans="1:7" ht="15.75" customHeight="1" x14ac:dyDescent="0.15">
      <c r="A18" s="49" t="s">
        <v>23</v>
      </c>
      <c r="B18" s="51">
        <v>0</v>
      </c>
      <c r="C18" s="50">
        <v>0.31130000000000002</v>
      </c>
      <c r="D18" s="50">
        <v>0.31130000000000002</v>
      </c>
      <c r="E18" s="50">
        <v>0.31130000000000002</v>
      </c>
      <c r="F18" s="50">
        <v>0.31130000000000002</v>
      </c>
      <c r="G18" s="51">
        <v>0</v>
      </c>
    </row>
    <row r="19" spans="1:7" ht="15.75" customHeight="1" x14ac:dyDescent="0.15">
      <c r="A19" s="49" t="s">
        <v>46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2">
        <v>2.5899999999999999E-2</v>
      </c>
    </row>
    <row r="20" spans="1:7" ht="15.75" customHeight="1" x14ac:dyDescent="0.15">
      <c r="A20" s="49" t="s">
        <v>47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2">
        <v>7.1000000000000004E-3</v>
      </c>
    </row>
    <row r="21" spans="1:7" ht="15.75" customHeight="1" x14ac:dyDescent="0.15">
      <c r="A21" s="49" t="s">
        <v>48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2">
        <v>0.25590000000000002</v>
      </c>
    </row>
    <row r="22" spans="1:7" ht="15.75" customHeight="1" x14ac:dyDescent="0.15">
      <c r="A22" s="49" t="s">
        <v>49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2">
        <v>0.1464</v>
      </c>
    </row>
    <row r="23" spans="1:7" ht="15.75" customHeight="1" x14ac:dyDescent="0.15">
      <c r="A23" s="49" t="s">
        <v>50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2">
        <v>1.7600000000000001E-2</v>
      </c>
    </row>
    <row r="24" spans="1:7" ht="15.75" customHeight="1" x14ac:dyDescent="0.15">
      <c r="A24" s="49" t="s">
        <v>51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2">
        <v>1.8100000000000002E-2</v>
      </c>
    </row>
    <row r="25" spans="1:7" ht="15.75" customHeight="1" x14ac:dyDescent="0.15">
      <c r="A25" s="49" t="s">
        <v>52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2">
        <v>1.14E-2</v>
      </c>
    </row>
    <row r="26" spans="1:7" ht="15.75" customHeight="1" x14ac:dyDescent="0.15">
      <c r="A26" s="49" t="s">
        <v>53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2">
        <v>0.15129999999999999</v>
      </c>
    </row>
    <row r="27" spans="1:7" ht="15.75" customHeight="1" x14ac:dyDescent="0.15">
      <c r="A27" s="49" t="s">
        <v>54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2">
        <v>0.36630000000000001</v>
      </c>
    </row>
  </sheetData>
  <phoneticPr fontId="6" type="noConversion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L15"/>
  <sheetViews>
    <sheetView topLeftCell="C1" zoomScale="85" zoomScaleNormal="85" workbookViewId="0">
      <selection activeCell="B49" sqref="B49"/>
    </sheetView>
  </sheetViews>
  <sheetFormatPr baseColWidth="10" defaultColWidth="14.5" defaultRowHeight="15.75" customHeight="1" x14ac:dyDescent="0.15"/>
  <cols>
    <col min="1" max="1" width="8.5" style="31" customWidth="1"/>
    <col min="2" max="10" width="16.83203125" style="31" customWidth="1"/>
    <col min="11" max="11" width="18.6640625" style="31" customWidth="1"/>
    <col min="12" max="12" width="16.83203125" style="31" customWidth="1"/>
    <col min="13" max="16384" width="14.5" style="31"/>
  </cols>
  <sheetData>
    <row r="1" spans="1:12" s="45" customFormat="1" ht="30" customHeight="1" x14ac:dyDescent="0.15">
      <c r="A1" s="64" t="s">
        <v>0</v>
      </c>
      <c r="B1" s="53" t="s">
        <v>169</v>
      </c>
      <c r="C1" s="48" t="s">
        <v>170</v>
      </c>
      <c r="D1" s="48" t="s">
        <v>58</v>
      </c>
      <c r="E1" s="48" t="s">
        <v>59</v>
      </c>
      <c r="F1" s="48" t="s">
        <v>60</v>
      </c>
      <c r="G1" s="48" t="s">
        <v>61</v>
      </c>
      <c r="H1" s="48" t="s">
        <v>168</v>
      </c>
      <c r="I1" s="76" t="s">
        <v>171</v>
      </c>
      <c r="J1" s="48" t="s">
        <v>194</v>
      </c>
      <c r="K1" s="76" t="s">
        <v>193</v>
      </c>
      <c r="L1" s="48" t="s">
        <v>44</v>
      </c>
    </row>
    <row r="2" spans="1:12" ht="15.75" customHeight="1" x14ac:dyDescent="0.15">
      <c r="A2" s="10">
        <v>2017</v>
      </c>
      <c r="B2" s="9">
        <v>3095470</v>
      </c>
      <c r="C2" s="46">
        <v>15402200</v>
      </c>
      <c r="D2" s="46">
        <v>8785700</v>
      </c>
      <c r="E2" s="46">
        <v>13889200</v>
      </c>
      <c r="F2" s="46">
        <v>12671800</v>
      </c>
      <c r="G2" s="46">
        <v>9362400</v>
      </c>
      <c r="H2" s="46">
        <v>173766200</v>
      </c>
      <c r="I2" s="77">
        <f t="shared" ref="I2:I15" si="0">D2+E2+F2+G2</f>
        <v>44709100</v>
      </c>
      <c r="J2" s="47">
        <f t="shared" ref="J2:J15" si="1">(B2 + stillbirth*B2/(1000-stillbirth))/(1-abortion)</f>
        <v>3650590.4685349194</v>
      </c>
      <c r="K2" s="78">
        <f t="shared" ref="K2:K15" si="2">D2/I2</f>
        <v>0.19650809343064388</v>
      </c>
      <c r="L2" s="47">
        <f>I2-J2</f>
        <v>41058509.531465083</v>
      </c>
    </row>
    <row r="3" spans="1:12" ht="15.75" customHeight="1" x14ac:dyDescent="0.15">
      <c r="A3" s="10">
        <v>2018</v>
      </c>
      <c r="B3" s="9">
        <v>3071259</v>
      </c>
      <c r="C3" s="46">
        <v>15629400.000000002</v>
      </c>
      <c r="D3" s="46">
        <v>8937400.0000000019</v>
      </c>
      <c r="E3" s="46">
        <v>14228400.000000002</v>
      </c>
      <c r="F3" s="46">
        <v>12949600</v>
      </c>
      <c r="G3" s="46">
        <v>9576800</v>
      </c>
      <c r="H3" s="46">
        <v>175848400</v>
      </c>
      <c r="I3" s="77">
        <f t="shared" si="0"/>
        <v>45692200</v>
      </c>
      <c r="J3" s="47">
        <f t="shared" si="1"/>
        <v>3622037.632993402</v>
      </c>
      <c r="K3" s="78">
        <f t="shared" si="2"/>
        <v>0.19560012431005733</v>
      </c>
      <c r="L3" s="47">
        <f t="shared" ref="L3:L15" si="3">I3-J3</f>
        <v>42070162.3670066</v>
      </c>
    </row>
    <row r="4" spans="1:12" ht="15.75" customHeight="1" x14ac:dyDescent="0.15">
      <c r="A4" s="10">
        <v>2019</v>
      </c>
      <c r="B4" s="9">
        <v>3045241</v>
      </c>
      <c r="C4" s="46">
        <v>15856600.000000002</v>
      </c>
      <c r="D4" s="46">
        <v>9089100.0000000019</v>
      </c>
      <c r="E4" s="46">
        <v>14567600.000000002</v>
      </c>
      <c r="F4" s="46">
        <v>13227400</v>
      </c>
      <c r="G4" s="46">
        <v>9791200.0000000019</v>
      </c>
      <c r="H4" s="46">
        <v>177930600</v>
      </c>
      <c r="I4" s="77">
        <f t="shared" si="0"/>
        <v>46675300</v>
      </c>
      <c r="J4" s="47">
        <f t="shared" si="1"/>
        <v>3591353.7424015561</v>
      </c>
      <c r="K4" s="78">
        <f t="shared" si="2"/>
        <v>0.19473040344679096</v>
      </c>
      <c r="L4" s="47">
        <f t="shared" si="3"/>
        <v>43083946.257598445</v>
      </c>
    </row>
    <row r="5" spans="1:12" ht="15.75" customHeight="1" x14ac:dyDescent="0.15">
      <c r="A5" s="10">
        <v>2020</v>
      </c>
      <c r="B5" s="9">
        <v>3017266</v>
      </c>
      <c r="C5" s="46">
        <v>16083800.000000004</v>
      </c>
      <c r="D5" s="46">
        <v>9240800.0000000037</v>
      </c>
      <c r="E5" s="46">
        <v>14906800.000000004</v>
      </c>
      <c r="F5" s="46">
        <v>13505200</v>
      </c>
      <c r="G5" s="46">
        <v>10005600.000000004</v>
      </c>
      <c r="H5" s="46">
        <v>180012800</v>
      </c>
      <c r="I5" s="77">
        <f t="shared" si="0"/>
        <v>47658400.000000015</v>
      </c>
      <c r="J5" s="47">
        <f t="shared" si="1"/>
        <v>3558361.8967828737</v>
      </c>
      <c r="K5" s="78">
        <f t="shared" si="2"/>
        <v>0.19389656387960991</v>
      </c>
      <c r="L5" s="47">
        <f t="shared" si="3"/>
        <v>44100038.10321714</v>
      </c>
    </row>
    <row r="6" spans="1:12" ht="15.75" customHeight="1" x14ac:dyDescent="0.15">
      <c r="A6" s="10">
        <v>2021</v>
      </c>
      <c r="B6" s="9">
        <v>2990677</v>
      </c>
      <c r="C6" s="46">
        <v>16311000.000000004</v>
      </c>
      <c r="D6" s="46">
        <v>9392500.0000000037</v>
      </c>
      <c r="E6" s="46">
        <v>15246000.000000004</v>
      </c>
      <c r="F6" s="46">
        <v>13783000</v>
      </c>
      <c r="G6" s="46">
        <v>10220000.000000004</v>
      </c>
      <c r="H6" s="46">
        <v>182095000</v>
      </c>
      <c r="I6" s="77">
        <f t="shared" si="0"/>
        <v>48641500.000000015</v>
      </c>
      <c r="J6" s="47">
        <f t="shared" si="1"/>
        <v>3527004.6069471212</v>
      </c>
      <c r="K6" s="78">
        <f t="shared" si="2"/>
        <v>0.1930964300031866</v>
      </c>
      <c r="L6" s="47">
        <f t="shared" si="3"/>
        <v>45114495.393052891</v>
      </c>
    </row>
    <row r="7" spans="1:12" ht="15.75" customHeight="1" x14ac:dyDescent="0.15">
      <c r="A7" s="10">
        <v>2022</v>
      </c>
      <c r="B7" s="9">
        <v>2962144</v>
      </c>
      <c r="C7" s="46">
        <v>16190600.000000004</v>
      </c>
      <c r="D7" s="46">
        <v>9004300.0000000037</v>
      </c>
      <c r="E7" s="46">
        <v>15785700.000000004</v>
      </c>
      <c r="F7" s="46">
        <v>13711700</v>
      </c>
      <c r="G7" s="46">
        <v>10609600.000000004</v>
      </c>
      <c r="H7" s="46">
        <v>183822800</v>
      </c>
      <c r="I7" s="77">
        <f t="shared" si="0"/>
        <v>49111300.000000015</v>
      </c>
      <c r="J7" s="47">
        <f t="shared" si="1"/>
        <v>3493354.6934158299</v>
      </c>
      <c r="K7" s="78">
        <f t="shared" si="2"/>
        <v>0.1833447699409301</v>
      </c>
      <c r="L7" s="47">
        <f t="shared" si="3"/>
        <v>45617945.306584187</v>
      </c>
    </row>
    <row r="8" spans="1:12" ht="15.75" customHeight="1" x14ac:dyDescent="0.15">
      <c r="A8" s="10">
        <v>2023</v>
      </c>
      <c r="B8" s="9">
        <v>2931643</v>
      </c>
      <c r="C8" s="46">
        <v>16070200.000000004</v>
      </c>
      <c r="D8" s="46">
        <v>8616100.0000000019</v>
      </c>
      <c r="E8" s="46">
        <v>16325400.000000004</v>
      </c>
      <c r="F8" s="46">
        <v>13640400</v>
      </c>
      <c r="G8" s="46">
        <v>10999200.000000002</v>
      </c>
      <c r="H8" s="46">
        <v>185550600</v>
      </c>
      <c r="I8" s="77">
        <f t="shared" si="0"/>
        <v>49581100.000000007</v>
      </c>
      <c r="J8" s="47">
        <f t="shared" si="1"/>
        <v>3457383.8521927581</v>
      </c>
      <c r="K8" s="78">
        <f t="shared" si="2"/>
        <v>0.17377791134121673</v>
      </c>
      <c r="L8" s="47">
        <f t="shared" si="3"/>
        <v>46123716.147807248</v>
      </c>
    </row>
    <row r="9" spans="1:12" ht="15.75" customHeight="1" x14ac:dyDescent="0.15">
      <c r="A9" s="10">
        <v>2024</v>
      </c>
      <c r="B9" s="9">
        <v>2899255</v>
      </c>
      <c r="C9" s="46">
        <v>15949800.000000006</v>
      </c>
      <c r="D9" s="46">
        <v>8227900.0000000019</v>
      </c>
      <c r="E9" s="46">
        <v>16865100.000000004</v>
      </c>
      <c r="F9" s="46">
        <v>13569100</v>
      </c>
      <c r="G9" s="46">
        <v>11388800</v>
      </c>
      <c r="H9" s="46">
        <v>187278400</v>
      </c>
      <c r="I9" s="77">
        <f t="shared" si="0"/>
        <v>50050900.000000007</v>
      </c>
      <c r="J9" s="47">
        <f t="shared" si="1"/>
        <v>3419187.609265219</v>
      </c>
      <c r="K9" s="78">
        <f t="shared" si="2"/>
        <v>0.16439065031797631</v>
      </c>
      <c r="L9" s="47">
        <f t="shared" si="3"/>
        <v>46631712.390734792</v>
      </c>
    </row>
    <row r="10" spans="1:12" ht="15.75" customHeight="1" x14ac:dyDescent="0.15">
      <c r="A10" s="10">
        <v>2025</v>
      </c>
      <c r="B10" s="9">
        <v>2865008</v>
      </c>
      <c r="C10" s="46">
        <v>15829400.000000006</v>
      </c>
      <c r="D10" s="46">
        <v>7839700.0000000019</v>
      </c>
      <c r="E10" s="46">
        <v>17404800.000000004</v>
      </c>
      <c r="F10" s="46">
        <v>13497800</v>
      </c>
      <c r="G10" s="46">
        <v>11778400</v>
      </c>
      <c r="H10" s="46">
        <v>189006200</v>
      </c>
      <c r="I10" s="77">
        <f t="shared" si="0"/>
        <v>50520700.000000007</v>
      </c>
      <c r="J10" s="47">
        <f t="shared" si="1"/>
        <v>3378798.9859621613</v>
      </c>
      <c r="K10" s="78">
        <f t="shared" si="2"/>
        <v>0.15517797655218554</v>
      </c>
      <c r="L10" s="47">
        <f t="shared" si="3"/>
        <v>47141901.014037848</v>
      </c>
    </row>
    <row r="11" spans="1:12" ht="15.75" customHeight="1" x14ac:dyDescent="0.15">
      <c r="A11" s="10">
        <v>2026</v>
      </c>
      <c r="B11" s="9">
        <v>2836142</v>
      </c>
      <c r="C11" s="46">
        <v>15709000.000000006</v>
      </c>
      <c r="D11" s="46">
        <v>7451500.0000000019</v>
      </c>
      <c r="E11" s="46">
        <v>17944500</v>
      </c>
      <c r="F11" s="46">
        <v>13426500</v>
      </c>
      <c r="G11" s="46">
        <v>12168000</v>
      </c>
      <c r="H11" s="46">
        <v>190734000</v>
      </c>
      <c r="I11" s="77">
        <f t="shared" si="0"/>
        <v>50990500</v>
      </c>
      <c r="J11" s="47">
        <f t="shared" si="1"/>
        <v>3344756.3544830228</v>
      </c>
      <c r="K11" s="78">
        <f t="shared" si="2"/>
        <v>0.1461350643747365</v>
      </c>
      <c r="L11" s="47">
        <f t="shared" si="3"/>
        <v>47645743.645516977</v>
      </c>
    </row>
    <row r="12" spans="1:12" ht="15.75" customHeight="1" x14ac:dyDescent="0.15">
      <c r="A12" s="10">
        <v>2027</v>
      </c>
      <c r="B12" s="9">
        <v>2805541</v>
      </c>
      <c r="C12" s="46">
        <v>15358200.000000006</v>
      </c>
      <c r="D12" s="46">
        <v>7411700.0000000019</v>
      </c>
      <c r="E12" s="46">
        <v>17710400</v>
      </c>
      <c r="F12" s="46">
        <v>13766300</v>
      </c>
      <c r="G12" s="46">
        <v>12445000</v>
      </c>
      <c r="H12" s="46">
        <v>192287600</v>
      </c>
      <c r="I12" s="77">
        <f t="shared" si="0"/>
        <v>51333400</v>
      </c>
      <c r="J12" s="47">
        <f t="shared" si="1"/>
        <v>3308667.5799422786</v>
      </c>
      <c r="K12" s="78">
        <f t="shared" si="2"/>
        <v>0.14438357872262508</v>
      </c>
      <c r="L12" s="47">
        <f t="shared" si="3"/>
        <v>48024732.420057721</v>
      </c>
    </row>
    <row r="13" spans="1:12" ht="15.75" customHeight="1" x14ac:dyDescent="0.15">
      <c r="A13" s="10">
        <v>2028</v>
      </c>
      <c r="B13" s="9">
        <v>2773236</v>
      </c>
      <c r="C13" s="46">
        <v>15007400.000000007</v>
      </c>
      <c r="D13" s="46">
        <v>7371900.0000000019</v>
      </c>
      <c r="E13" s="46">
        <v>17476300</v>
      </c>
      <c r="F13" s="46">
        <v>14106100</v>
      </c>
      <c r="G13" s="46">
        <v>12722000</v>
      </c>
      <c r="H13" s="46">
        <v>193841200</v>
      </c>
      <c r="I13" s="77">
        <f t="shared" si="0"/>
        <v>51676300</v>
      </c>
      <c r="J13" s="47">
        <f t="shared" si="1"/>
        <v>3270569.2216684073</v>
      </c>
      <c r="K13" s="78">
        <f t="shared" si="2"/>
        <v>0.14265533716616713</v>
      </c>
      <c r="L13" s="47">
        <f t="shared" si="3"/>
        <v>48405730.778331593</v>
      </c>
    </row>
    <row r="14" spans="1:12" ht="15.75" customHeight="1" x14ac:dyDescent="0.15">
      <c r="A14" s="10">
        <v>2029</v>
      </c>
      <c r="B14" s="9">
        <v>2739273</v>
      </c>
      <c r="C14" s="46">
        <v>14656600.000000007</v>
      </c>
      <c r="D14" s="46">
        <v>7332100.0000000009</v>
      </c>
      <c r="E14" s="46">
        <v>17242200</v>
      </c>
      <c r="F14" s="46">
        <v>14445900</v>
      </c>
      <c r="G14" s="46">
        <v>12999000</v>
      </c>
      <c r="H14" s="46">
        <v>195394800</v>
      </c>
      <c r="I14" s="77">
        <f t="shared" si="0"/>
        <v>52019200</v>
      </c>
      <c r="J14" s="47">
        <f t="shared" si="1"/>
        <v>3230515.5289875376</v>
      </c>
      <c r="K14" s="78">
        <f t="shared" si="2"/>
        <v>0.14094988004429135</v>
      </c>
      <c r="L14" s="47">
        <f t="shared" si="3"/>
        <v>48788684.471012466</v>
      </c>
    </row>
    <row r="15" spans="1:12" ht="15.75" customHeight="1" x14ac:dyDescent="0.15">
      <c r="A15" s="10">
        <v>2030</v>
      </c>
      <c r="B15" s="9">
        <v>2703670</v>
      </c>
      <c r="C15" s="46">
        <v>14305800.000000007</v>
      </c>
      <c r="D15" s="46">
        <v>7292300.0000000009</v>
      </c>
      <c r="E15" s="46">
        <v>17008100</v>
      </c>
      <c r="F15" s="46">
        <v>14785700</v>
      </c>
      <c r="G15" s="46">
        <v>13276000</v>
      </c>
      <c r="H15" s="46">
        <v>196948400</v>
      </c>
      <c r="I15" s="77">
        <f t="shared" si="0"/>
        <v>52362100</v>
      </c>
      <c r="J15" s="47">
        <f t="shared" si="1"/>
        <v>3188527.7298968509</v>
      </c>
      <c r="K15" s="78">
        <f t="shared" si="2"/>
        <v>0.139266759736527</v>
      </c>
      <c r="L15" s="47">
        <f t="shared" si="3"/>
        <v>49173572.270103149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B49" sqref="B49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55" t="s">
        <v>197</v>
      </c>
      <c r="B1" s="1" t="s">
        <v>6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</row>
    <row r="2" spans="1:15" ht="15.75" customHeight="1" x14ac:dyDescent="0.15">
      <c r="A2" s="6" t="s">
        <v>175</v>
      </c>
      <c r="B2" s="28" t="s">
        <v>177</v>
      </c>
      <c r="C2" s="68">
        <f>1-SUM(C3:C5)</f>
        <v>0.63400000000000001</v>
      </c>
      <c r="D2" s="68">
        <f t="shared" ref="D2:G2" si="0">1-SUM(D3:D5)</f>
        <v>0.63400000000000001</v>
      </c>
      <c r="E2" s="68">
        <f t="shared" si="0"/>
        <v>0.49</v>
      </c>
      <c r="F2" s="68">
        <f t="shared" si="0"/>
        <v>0.28000000000000003</v>
      </c>
      <c r="G2" s="68">
        <f t="shared" si="0"/>
        <v>0.25349999999999995</v>
      </c>
    </row>
    <row r="3" spans="1:15" ht="15.75" customHeight="1" x14ac:dyDescent="0.15">
      <c r="A3" s="5"/>
      <c r="B3" s="28" t="s">
        <v>178</v>
      </c>
      <c r="C3" s="56">
        <v>0.22600000000000001</v>
      </c>
      <c r="D3" s="56">
        <v>0.22600000000000001</v>
      </c>
      <c r="E3" s="56">
        <v>0.314</v>
      </c>
      <c r="F3" s="56">
        <v>0.33899999999999997</v>
      </c>
      <c r="G3" s="56">
        <v>0.33250000000000002</v>
      </c>
    </row>
    <row r="4" spans="1:15" ht="15.75" customHeight="1" x14ac:dyDescent="0.15">
      <c r="A4" s="5"/>
      <c r="B4" s="28" t="s">
        <v>176</v>
      </c>
      <c r="C4" s="56">
        <v>0.10199999999999999</v>
      </c>
      <c r="D4" s="56">
        <v>0.10199999999999999</v>
      </c>
      <c r="E4" s="56">
        <v>0.14699999999999999</v>
      </c>
      <c r="F4" s="56">
        <v>0.247</v>
      </c>
      <c r="G4" s="56">
        <v>0.28100000000000003</v>
      </c>
    </row>
    <row r="5" spans="1:15" ht="15.75" customHeight="1" x14ac:dyDescent="0.15">
      <c r="A5" s="5"/>
      <c r="B5" s="28" t="s">
        <v>179</v>
      </c>
      <c r="C5" s="56">
        <v>3.7999999999999999E-2</v>
      </c>
      <c r="D5" s="56">
        <v>3.7999999999999999E-2</v>
      </c>
      <c r="E5" s="56">
        <v>4.9000000000000002E-2</v>
      </c>
      <c r="F5" s="56">
        <v>0.13400000000000001</v>
      </c>
      <c r="G5" s="56">
        <v>0.13300000000000001</v>
      </c>
    </row>
    <row r="6" spans="1:15" ht="15.75" customHeight="1" x14ac:dyDescent="0.15">
      <c r="B6" s="34"/>
      <c r="C6" s="57"/>
      <c r="D6" s="57"/>
      <c r="E6" s="57"/>
      <c r="F6" s="57"/>
      <c r="G6" s="57"/>
    </row>
    <row r="7" spans="1:15" ht="15.75" customHeight="1" x14ac:dyDescent="0.15">
      <c r="B7" s="34"/>
      <c r="C7" s="57"/>
      <c r="D7" s="57"/>
      <c r="E7" s="57"/>
      <c r="F7" s="57"/>
      <c r="G7" s="57"/>
    </row>
    <row r="8" spans="1:15" ht="15.75" customHeight="1" x14ac:dyDescent="0.15">
      <c r="A8" s="3" t="s">
        <v>174</v>
      </c>
      <c r="B8" s="10" t="s">
        <v>180</v>
      </c>
      <c r="C8" s="68">
        <f t="shared" ref="C8:G8" si="1">1-SUM(C9:C11)</f>
        <v>0.56800000000000006</v>
      </c>
      <c r="D8" s="68">
        <f t="shared" si="1"/>
        <v>0.56800000000000006</v>
      </c>
      <c r="E8" s="68">
        <f t="shared" si="1"/>
        <v>0.58650000000000002</v>
      </c>
      <c r="F8" s="68">
        <f t="shared" si="1"/>
        <v>0.54900000000000004</v>
      </c>
      <c r="G8" s="68">
        <f t="shared" si="1"/>
        <v>0.49</v>
      </c>
    </row>
    <row r="9" spans="1:15" ht="15.75" customHeight="1" x14ac:dyDescent="0.15">
      <c r="B9" s="10" t="s">
        <v>181</v>
      </c>
      <c r="C9" s="56">
        <v>0.23300000000000001</v>
      </c>
      <c r="D9" s="56">
        <v>0.23300000000000001</v>
      </c>
      <c r="E9" s="56">
        <v>0.23149999999999998</v>
      </c>
      <c r="F9" s="56">
        <v>0.3</v>
      </c>
      <c r="G9" s="56">
        <v>0.38400000000000001</v>
      </c>
    </row>
    <row r="10" spans="1:15" ht="15.75" customHeight="1" x14ac:dyDescent="0.15">
      <c r="B10" s="10" t="s">
        <v>182</v>
      </c>
      <c r="C10" s="56">
        <v>0.15</v>
      </c>
      <c r="D10" s="56">
        <v>0.15</v>
      </c>
      <c r="E10" s="56">
        <v>0.129</v>
      </c>
      <c r="F10" s="56">
        <v>0.11</v>
      </c>
      <c r="G10" s="56">
        <v>0.105</v>
      </c>
    </row>
    <row r="11" spans="1:15" ht="15.75" customHeight="1" x14ac:dyDescent="0.15">
      <c r="B11" s="10" t="s">
        <v>183</v>
      </c>
      <c r="C11" s="56">
        <v>4.9000000000000002E-2</v>
      </c>
      <c r="D11" s="56">
        <v>4.9000000000000002E-2</v>
      </c>
      <c r="E11" s="56">
        <v>5.2999999999999999E-2</v>
      </c>
      <c r="F11" s="56">
        <v>4.0999999999999995E-2</v>
      </c>
      <c r="G11" s="56">
        <v>2.1000000000000001E-2</v>
      </c>
    </row>
    <row r="12" spans="1:15" ht="15.75" customHeight="1" x14ac:dyDescent="0.15">
      <c r="C12" s="24"/>
      <c r="D12" s="24"/>
      <c r="E12" s="24"/>
      <c r="F12" s="24"/>
      <c r="G12" s="24"/>
      <c r="H12" s="35"/>
      <c r="I12" s="35"/>
      <c r="J12" s="35"/>
      <c r="K12" s="35"/>
      <c r="L12" s="35"/>
      <c r="M12" s="35"/>
      <c r="N12" s="35"/>
      <c r="O12" s="35"/>
    </row>
    <row r="13" spans="1:15" ht="27" customHeight="1" x14ac:dyDescent="0.15">
      <c r="A13" s="31" t="s">
        <v>111</v>
      </c>
      <c r="C13" s="36" t="s">
        <v>1</v>
      </c>
      <c r="D13" s="36" t="s">
        <v>2</v>
      </c>
      <c r="E13" s="36" t="s">
        <v>3</v>
      </c>
      <c r="F13" s="36" t="s">
        <v>4</v>
      </c>
      <c r="G13" s="36" t="s">
        <v>5</v>
      </c>
      <c r="H13" s="48" t="s">
        <v>62</v>
      </c>
      <c r="I13" s="48" t="s">
        <v>63</v>
      </c>
      <c r="J13" s="48" t="s">
        <v>64</v>
      </c>
      <c r="K13" s="48" t="s">
        <v>65</v>
      </c>
      <c r="L13" s="48" t="s">
        <v>58</v>
      </c>
      <c r="M13" s="48" t="s">
        <v>59</v>
      </c>
      <c r="N13" s="48" t="s">
        <v>60</v>
      </c>
      <c r="O13" s="48" t="s">
        <v>61</v>
      </c>
    </row>
    <row r="14" spans="1:15" ht="15.75" customHeight="1" x14ac:dyDescent="0.15">
      <c r="B14" s="36" t="s">
        <v>195</v>
      </c>
      <c r="C14" s="69">
        <v>0.1</v>
      </c>
      <c r="D14" s="69">
        <v>0.1</v>
      </c>
      <c r="E14" s="69">
        <v>0.74</v>
      </c>
      <c r="F14" s="69">
        <v>0.55000000000000004</v>
      </c>
      <c r="G14" s="69">
        <v>0.42699999999999999</v>
      </c>
      <c r="H14" s="70">
        <v>0.48149999999999998</v>
      </c>
      <c r="I14" s="70">
        <v>0.48149999999999998</v>
      </c>
      <c r="J14" s="70">
        <v>0.48149999999999998</v>
      </c>
      <c r="K14" s="70">
        <v>0.48149999999999998</v>
      </c>
      <c r="L14" s="70">
        <v>0.43469999999999998</v>
      </c>
      <c r="M14" s="70">
        <v>0.43469999999999998</v>
      </c>
      <c r="N14" s="70">
        <v>0.43469999999999998</v>
      </c>
      <c r="O14" s="70">
        <v>0.43469999999999998</v>
      </c>
    </row>
    <row r="15" spans="1:15" ht="15.75" customHeight="1" x14ac:dyDescent="0.15">
      <c r="B15" s="36" t="s">
        <v>109</v>
      </c>
      <c r="C15" s="68">
        <f t="shared" ref="C15:O15" si="2">iron_deficiency_anaemia*C14</f>
        <v>4.2000000000000003E-2</v>
      </c>
      <c r="D15" s="68">
        <f t="shared" si="2"/>
        <v>4.2000000000000003E-2</v>
      </c>
      <c r="E15" s="68">
        <f t="shared" si="2"/>
        <v>0.31079999999999997</v>
      </c>
      <c r="F15" s="68">
        <f t="shared" si="2"/>
        <v>0.23100000000000001</v>
      </c>
      <c r="G15" s="68">
        <f t="shared" si="2"/>
        <v>0.17934</v>
      </c>
      <c r="H15" s="68">
        <f t="shared" si="2"/>
        <v>0.20222999999999999</v>
      </c>
      <c r="I15" s="68">
        <f t="shared" si="2"/>
        <v>0.20222999999999999</v>
      </c>
      <c r="J15" s="68">
        <f t="shared" si="2"/>
        <v>0.20222999999999999</v>
      </c>
      <c r="K15" s="68">
        <f t="shared" si="2"/>
        <v>0.20222999999999999</v>
      </c>
      <c r="L15" s="68">
        <f t="shared" si="2"/>
        <v>0.18257399999999999</v>
      </c>
      <c r="M15" s="68">
        <f t="shared" si="2"/>
        <v>0.18257399999999999</v>
      </c>
      <c r="N15" s="68">
        <f t="shared" si="2"/>
        <v>0.18257399999999999</v>
      </c>
      <c r="O15" s="68">
        <f t="shared" si="2"/>
        <v>0.18257399999999999</v>
      </c>
    </row>
    <row r="16" spans="1:15" ht="15.75" customHeight="1" x14ac:dyDescent="0.15">
      <c r="C16" s="24"/>
      <c r="D16" s="24"/>
      <c r="E16" s="24"/>
      <c r="F16" s="24"/>
      <c r="G16" s="24"/>
    </row>
    <row r="17" spans="3:7" ht="15.75" customHeight="1" x14ac:dyDescent="0.15">
      <c r="C17" s="24"/>
      <c r="D17" s="24"/>
      <c r="E17" s="24"/>
      <c r="F17" s="24"/>
      <c r="G17" s="24"/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B49" sqref="B49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55" t="s">
        <v>173</v>
      </c>
      <c r="B1" s="1" t="s">
        <v>6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</row>
    <row r="2" spans="1:7" x14ac:dyDescent="0.15">
      <c r="A2" s="3" t="s">
        <v>24</v>
      </c>
      <c r="B2" s="67" t="s">
        <v>25</v>
      </c>
      <c r="C2" s="56">
        <v>0.80299999999999994</v>
      </c>
      <c r="D2" s="56">
        <v>0.46200000000000002</v>
      </c>
      <c r="E2" s="56">
        <v>3.3000000000000002E-2</v>
      </c>
      <c r="F2" s="56">
        <v>6.9999999999999993E-3</v>
      </c>
      <c r="G2" s="56">
        <v>0</v>
      </c>
    </row>
    <row r="3" spans="1:7" x14ac:dyDescent="0.15">
      <c r="B3" s="67" t="s">
        <v>26</v>
      </c>
      <c r="C3" s="56">
        <v>6.8000000000000005E-2</v>
      </c>
      <c r="D3" s="56">
        <v>0.16300000000000001</v>
      </c>
      <c r="E3" s="56">
        <v>9.4E-2</v>
      </c>
      <c r="F3" s="56">
        <v>4.4999999999999998E-2</v>
      </c>
      <c r="G3" s="56">
        <v>0</v>
      </c>
    </row>
    <row r="4" spans="1:7" x14ac:dyDescent="0.15">
      <c r="B4" s="67" t="s">
        <v>27</v>
      </c>
      <c r="C4" s="56">
        <v>0.107</v>
      </c>
      <c r="D4" s="56">
        <v>0.37</v>
      </c>
      <c r="E4" s="56">
        <v>0.83700000000000008</v>
      </c>
      <c r="F4" s="56">
        <v>0.879</v>
      </c>
      <c r="G4" s="56">
        <v>0</v>
      </c>
    </row>
    <row r="5" spans="1:7" x14ac:dyDescent="0.15">
      <c r="B5" s="67" t="s">
        <v>28</v>
      </c>
      <c r="C5" s="68">
        <f>1-SUM(C2:C4)</f>
        <v>2.200000000000002E-2</v>
      </c>
      <c r="D5" s="68">
        <f t="shared" ref="D5:G5" si="0">1-SUM(D2:D4)</f>
        <v>5.0000000000000044E-3</v>
      </c>
      <c r="E5" s="68">
        <f t="shared" si="0"/>
        <v>3.5999999999999921E-2</v>
      </c>
      <c r="F5" s="68">
        <f t="shared" si="0"/>
        <v>6.899999999999995E-2</v>
      </c>
      <c r="G5" s="68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49" sqref="B49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207</v>
      </c>
      <c r="B1" s="4" t="s">
        <v>214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208</v>
      </c>
      <c r="B2" s="34" t="s">
        <v>212</v>
      </c>
      <c r="C2" s="56"/>
      <c r="D2" s="56"/>
      <c r="E2" s="56"/>
      <c r="F2" s="56"/>
      <c r="G2" s="56"/>
      <c r="H2" s="56"/>
      <c r="I2" s="56"/>
      <c r="J2" s="56"/>
      <c r="K2" s="56"/>
    </row>
    <row r="3" spans="1:11" x14ac:dyDescent="0.15">
      <c r="B3" s="34"/>
    </row>
    <row r="4" spans="1:11" x14ac:dyDescent="0.15">
      <c r="A4" t="s">
        <v>209</v>
      </c>
      <c r="B4" s="34" t="s">
        <v>212</v>
      </c>
      <c r="C4" s="56"/>
      <c r="D4" s="56"/>
      <c r="E4" s="56"/>
      <c r="F4" s="56"/>
      <c r="G4" s="56"/>
      <c r="H4" s="56"/>
      <c r="I4" s="56"/>
      <c r="J4" s="56"/>
      <c r="K4" s="56"/>
    </row>
    <row r="5" spans="1:11" x14ac:dyDescent="0.15">
      <c r="B5" s="34"/>
    </row>
    <row r="6" spans="1:11" x14ac:dyDescent="0.15">
      <c r="A6" t="s">
        <v>210</v>
      </c>
      <c r="B6" s="34" t="s">
        <v>212</v>
      </c>
      <c r="C6" s="56"/>
      <c r="D6" s="56"/>
      <c r="E6" s="56"/>
      <c r="F6" s="56"/>
      <c r="G6" s="56"/>
      <c r="H6" s="56"/>
      <c r="I6" s="56"/>
      <c r="J6" s="56"/>
      <c r="K6" s="56"/>
    </row>
    <row r="7" spans="1:11" x14ac:dyDescent="0.15">
      <c r="B7" s="34" t="s">
        <v>213</v>
      </c>
      <c r="C7" s="56"/>
      <c r="D7" s="56"/>
      <c r="E7" s="56"/>
      <c r="F7" s="56"/>
      <c r="G7" s="56"/>
      <c r="H7" s="56"/>
      <c r="I7" s="56"/>
      <c r="J7" s="56"/>
      <c r="K7" s="56"/>
    </row>
    <row r="8" spans="1:11" x14ac:dyDescent="0.15">
      <c r="B8" s="34" t="s">
        <v>36</v>
      </c>
      <c r="C8" s="56"/>
      <c r="D8" s="56"/>
      <c r="E8" s="56"/>
      <c r="F8" s="56"/>
      <c r="G8" s="56"/>
      <c r="H8" s="56"/>
      <c r="I8" s="56"/>
      <c r="J8" s="56"/>
      <c r="K8" s="56"/>
    </row>
    <row r="9" spans="1:11" x14ac:dyDescent="0.15">
      <c r="B9" s="34"/>
    </row>
    <row r="10" spans="1:11" x14ac:dyDescent="0.15">
      <c r="A10" t="s">
        <v>211</v>
      </c>
      <c r="B10" s="36" t="s">
        <v>216</v>
      </c>
      <c r="C10" s="56"/>
      <c r="D10" s="56"/>
      <c r="E10" s="56"/>
      <c r="F10" s="56"/>
      <c r="G10" s="56"/>
      <c r="H10" s="56"/>
      <c r="I10" s="56"/>
      <c r="J10" s="56"/>
      <c r="K10" s="56"/>
    </row>
    <row r="11" spans="1:11" x14ac:dyDescent="0.15">
      <c r="B11" s="72" t="s">
        <v>215</v>
      </c>
      <c r="C11" s="56"/>
      <c r="D11" s="56"/>
      <c r="E11" s="56"/>
      <c r="F11" s="56"/>
      <c r="G11" s="56"/>
      <c r="H11" s="56"/>
      <c r="I11" s="56"/>
      <c r="J11" s="56"/>
      <c r="K11" s="56"/>
    </row>
    <row r="13" spans="1:11" x14ac:dyDescent="0.15">
      <c r="A13" s="31" t="s">
        <v>219</v>
      </c>
      <c r="B13" s="36" t="s">
        <v>217</v>
      </c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15">
      <c r="B14" s="72" t="s">
        <v>218</v>
      </c>
      <c r="C14" s="56"/>
      <c r="D14" s="56"/>
      <c r="E14" s="56"/>
      <c r="F14" s="56"/>
      <c r="G14" s="56"/>
      <c r="H14" s="56"/>
      <c r="I14" s="56"/>
      <c r="J14" s="56"/>
      <c r="K14" s="56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B49" sqref="B49"/>
    </sheetView>
  </sheetViews>
  <sheetFormatPr baseColWidth="10" defaultColWidth="11.5" defaultRowHeight="13" x14ac:dyDescent="0.15"/>
  <cols>
    <col min="1" max="1" width="37.1640625" style="31" customWidth="1"/>
    <col min="2" max="2" width="44.33203125" style="31" customWidth="1"/>
    <col min="3" max="3" width="16.5" style="31" customWidth="1"/>
    <col min="4" max="16384" width="11.5" style="31"/>
  </cols>
  <sheetData>
    <row r="1" spans="1:3" s="62" customFormat="1" ht="31.5" customHeight="1" x14ac:dyDescent="0.15">
      <c r="A1" s="59" t="s">
        <v>186</v>
      </c>
      <c r="B1" s="60"/>
      <c r="C1" s="61" t="s">
        <v>184</v>
      </c>
    </row>
    <row r="2" spans="1:3" ht="14.25" customHeight="1" x14ac:dyDescent="0.15">
      <c r="A2" s="25" t="s">
        <v>185</v>
      </c>
      <c r="B2" s="58" t="s">
        <v>118</v>
      </c>
      <c r="C2" s="63">
        <v>0.15</v>
      </c>
    </row>
    <row r="3" spans="1:3" ht="14.25" customHeight="1" x14ac:dyDescent="0.15">
      <c r="B3" s="58" t="s">
        <v>119</v>
      </c>
      <c r="C3" s="63">
        <v>0.03</v>
      </c>
    </row>
    <row r="4" spans="1:3" ht="14.25" customHeight="1" x14ac:dyDescent="0.15">
      <c r="B4" s="58" t="s">
        <v>120</v>
      </c>
      <c r="C4" s="63">
        <v>0</v>
      </c>
    </row>
    <row r="5" spans="1:3" ht="14.25" customHeight="1" x14ac:dyDescent="0.15">
      <c r="B5" s="58" t="s">
        <v>121</v>
      </c>
      <c r="C5" s="63">
        <v>0.19</v>
      </c>
    </row>
    <row r="6" spans="1:3" ht="14.25" customHeight="1" x14ac:dyDescent="0.15">
      <c r="B6" s="58" t="s">
        <v>122</v>
      </c>
      <c r="C6" s="63">
        <v>0.39</v>
      </c>
    </row>
    <row r="7" spans="1:3" ht="14.25" customHeight="1" x14ac:dyDescent="0.15">
      <c r="B7" s="58" t="s">
        <v>123</v>
      </c>
      <c r="C7" s="63">
        <v>0.19</v>
      </c>
    </row>
    <row r="8" spans="1:3" ht="14.25" customHeight="1" x14ac:dyDescent="0.15">
      <c r="B8" s="58" t="s">
        <v>124</v>
      </c>
      <c r="C8" s="63">
        <v>1E-3</v>
      </c>
    </row>
    <row r="9" spans="1:3" ht="14.25" customHeight="1" x14ac:dyDescent="0.15">
      <c r="B9" s="58" t="s">
        <v>125</v>
      </c>
      <c r="C9" s="63">
        <v>7.0000000000000001E-3</v>
      </c>
    </row>
    <row r="10" spans="1:3" ht="14.25" customHeight="1" x14ac:dyDescent="0.15">
      <c r="B10" s="58" t="s">
        <v>126</v>
      </c>
      <c r="C10" s="63">
        <v>0.04</v>
      </c>
    </row>
    <row r="11" spans="1:3" ht="14.25" customHeight="1" x14ac:dyDescent="0.15">
      <c r="B11" s="66" t="s">
        <v>192</v>
      </c>
      <c r="C11" s="65">
        <f>SUM(C2:C10)</f>
        <v>0.998</v>
      </c>
    </row>
    <row r="12" spans="1:3" ht="14.25" customHeight="1" x14ac:dyDescent="0.15">
      <c r="B12" s="62"/>
      <c r="C12" s="62"/>
    </row>
    <row r="13" spans="1:3" ht="14.25" customHeight="1" x14ac:dyDescent="0.15">
      <c r="A13" s="25" t="s">
        <v>127</v>
      </c>
      <c r="B13" s="58" t="s">
        <v>128</v>
      </c>
      <c r="C13" s="63">
        <v>0.34</v>
      </c>
    </row>
    <row r="14" spans="1:3" ht="14.25" customHeight="1" x14ac:dyDescent="0.15">
      <c r="B14" s="58" t="s">
        <v>129</v>
      </c>
      <c r="C14" s="63">
        <v>0.05</v>
      </c>
    </row>
    <row r="15" spans="1:3" ht="14.25" customHeight="1" x14ac:dyDescent="0.15">
      <c r="B15" s="58" t="s">
        <v>130</v>
      </c>
      <c r="C15" s="63">
        <v>7.0000000000000007E-2</v>
      </c>
    </row>
    <row r="16" spans="1:3" ht="14.25" customHeight="1" x14ac:dyDescent="0.15">
      <c r="B16" s="58" t="s">
        <v>131</v>
      </c>
      <c r="C16" s="63">
        <v>0.54</v>
      </c>
    </row>
    <row r="17" spans="2:3" x14ac:dyDescent="0.15">
      <c r="B17" s="66" t="s">
        <v>192</v>
      </c>
      <c r="C17" s="65">
        <f>SUM(C13:C16)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79AA-E332-6842-B41C-7B52485E2941}">
  <sheetPr>
    <tabColor rgb="FFFF0000"/>
  </sheetPr>
  <dimension ref="A1:F3"/>
  <sheetViews>
    <sheetView tabSelected="1" workbookViewId="0">
      <selection activeCell="C2" sqref="C2"/>
    </sheetView>
  </sheetViews>
  <sheetFormatPr baseColWidth="10" defaultColWidth="11.5" defaultRowHeight="13" x14ac:dyDescent="0.15"/>
  <cols>
    <col min="1" max="1" width="16.83203125" style="94" bestFit="1" customWidth="1"/>
    <col min="2" max="2" width="13" style="94" bestFit="1" customWidth="1"/>
    <col min="3" max="3" width="9" style="94" bestFit="1" customWidth="1"/>
    <col min="4" max="4" width="10.5" style="94" bestFit="1" customWidth="1"/>
    <col min="5" max="5" width="10.6640625" style="94" bestFit="1" customWidth="1"/>
    <col min="6" max="16384" width="11.5" style="94"/>
  </cols>
  <sheetData>
    <row r="1" spans="1:6" ht="65" x14ac:dyDescent="0.15">
      <c r="A1" s="107" t="s">
        <v>110</v>
      </c>
      <c r="B1" s="109" t="s">
        <v>237</v>
      </c>
      <c r="C1" s="108" t="s">
        <v>118</v>
      </c>
      <c r="D1" s="108" t="s">
        <v>119</v>
      </c>
      <c r="E1" s="108" t="s">
        <v>120</v>
      </c>
      <c r="F1" s="107"/>
    </row>
    <row r="2" spans="1:6" x14ac:dyDescent="0.15">
      <c r="A2" s="94" t="s">
        <v>142</v>
      </c>
      <c r="B2" s="106" t="s">
        <v>236</v>
      </c>
      <c r="C2" s="105">
        <f>'Fertility risks'!C2</f>
        <v>0.15</v>
      </c>
      <c r="D2" s="105">
        <f>'Fertility risks'!C3</f>
        <v>0.03</v>
      </c>
      <c r="E2" s="105">
        <f>'Fertility risks'!C4</f>
        <v>0</v>
      </c>
      <c r="F2" s="104"/>
    </row>
    <row r="3" spans="1:6" x14ac:dyDescent="0.15">
      <c r="B3" s="106" t="s">
        <v>235</v>
      </c>
      <c r="C3" s="105">
        <v>0.8</v>
      </c>
      <c r="D3" s="105">
        <v>0.8</v>
      </c>
      <c r="E3" s="105">
        <v>0.8</v>
      </c>
      <c r="F3" s="104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F6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113</v>
      </c>
      <c r="B2" s="8">
        <v>2.4300000000000002</v>
      </c>
      <c r="C2" s="8">
        <v>2.4300000000000002</v>
      </c>
      <c r="D2" s="8">
        <v>3.71</v>
      </c>
      <c r="E2" s="8">
        <v>3</v>
      </c>
      <c r="F2" s="8">
        <v>1.92</v>
      </c>
    </row>
    <row r="3" spans="1:6" ht="15.75" customHeight="1" x14ac:dyDescent="0.15">
      <c r="A3" s="14" t="s">
        <v>115</v>
      </c>
      <c r="B3" s="79">
        <v>5.1999999999999998E-2</v>
      </c>
      <c r="C3" s="79">
        <v>5.1999999999999998E-2</v>
      </c>
      <c r="D3" s="79">
        <v>5.1999999999999998E-2</v>
      </c>
      <c r="E3" s="79">
        <v>5.1999999999999998E-2</v>
      </c>
      <c r="F3" s="79">
        <v>5.1999999999999998E-2</v>
      </c>
    </row>
    <row r="4" spans="1:6" ht="15.75" customHeight="1" x14ac:dyDescent="0.15">
      <c r="A4" s="84" t="s">
        <v>16</v>
      </c>
      <c r="B4" s="7">
        <v>3.5999999999999997E-2</v>
      </c>
      <c r="C4" s="7">
        <v>3.5999999999999997E-2</v>
      </c>
      <c r="D4" s="7">
        <v>3.5999999999999997E-2</v>
      </c>
      <c r="E4" s="7">
        <v>3.5999999999999997E-2</v>
      </c>
      <c r="F4" s="7">
        <v>3.5999999999999997E-2</v>
      </c>
    </row>
    <row r="5" spans="1:6" ht="15.75" customHeight="1" x14ac:dyDescent="0.15">
      <c r="A5" s="3" t="s">
        <v>92</v>
      </c>
      <c r="B5" s="54">
        <f>'Nutritional status distribution'!C10 * 2.6</f>
        <v>0.39</v>
      </c>
      <c r="C5" s="54">
        <f>'Nutritional status distribution'!D10 * 2.6</f>
        <v>0.39</v>
      </c>
      <c r="D5" s="54">
        <f>'Nutritional status distribution'!E10 * 2.6</f>
        <v>0.33540000000000003</v>
      </c>
      <c r="E5" s="54">
        <f>'Nutritional status distribution'!F10 * 2.6</f>
        <v>0.28600000000000003</v>
      </c>
      <c r="F5" s="54">
        <f>'Nutritional status distribution'!G10 * 2.6</f>
        <v>0.27300000000000002</v>
      </c>
    </row>
    <row r="6" spans="1:6" ht="15.75" customHeight="1" x14ac:dyDescent="0.15">
      <c r="A6" s="3" t="s">
        <v>93</v>
      </c>
      <c r="B6" s="54">
        <f>'Nutritional status distribution'!C11 * 2.6</f>
        <v>0.12740000000000001</v>
      </c>
      <c r="C6" s="54">
        <f>'Nutritional status distribution'!D11 * 2.6</f>
        <v>0.12740000000000001</v>
      </c>
      <c r="D6" s="54">
        <f>'Nutritional status distribution'!E11 * 2.6</f>
        <v>0.13780000000000001</v>
      </c>
      <c r="E6" s="54">
        <f>'Nutritional status distribution'!F11 * 2.6</f>
        <v>0.10659999999999999</v>
      </c>
      <c r="F6" s="54">
        <f>'Nutritional status distribution'!G11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474B-1986-A540-8A46-5EAC2952C8E8}">
  <sheetPr>
    <tabColor theme="9" tint="0.39997558519241921"/>
  </sheetPr>
  <dimension ref="A1:F3"/>
  <sheetViews>
    <sheetView workbookViewId="0">
      <selection activeCell="B10" sqref="B10"/>
    </sheetView>
  </sheetViews>
  <sheetFormatPr baseColWidth="10" defaultRowHeight="13" x14ac:dyDescent="0.15"/>
  <sheetData>
    <row r="1" spans="1:6" x14ac:dyDescent="0.15">
      <c r="A1" s="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92</v>
      </c>
      <c r="B2" s="54">
        <f>'Nutritional status distribution'!C10 * 2.6</f>
        <v>0.39</v>
      </c>
      <c r="C2" s="54">
        <f>'Nutritional status distribution'!D10 * 2.6</f>
        <v>0.39</v>
      </c>
      <c r="D2" s="54">
        <f>'Nutritional status distribution'!E10 * 2.6</f>
        <v>0.33540000000000003</v>
      </c>
      <c r="E2" s="54">
        <f>'Nutritional status distribution'!F10 * 2.6</f>
        <v>0.28600000000000003</v>
      </c>
      <c r="F2" s="54">
        <f>'Nutritional status distribution'!G10 * 2.6</f>
        <v>0.27300000000000002</v>
      </c>
    </row>
    <row r="3" spans="1:6" ht="15.75" customHeight="1" x14ac:dyDescent="0.15">
      <c r="A3" s="3" t="s">
        <v>93</v>
      </c>
      <c r="B3" s="54">
        <f>'Nutritional status distribution'!C11 * 2.6</f>
        <v>0.12740000000000001</v>
      </c>
      <c r="C3" s="54">
        <f>'Nutritional status distribution'!D11 * 2.6</f>
        <v>0.12740000000000001</v>
      </c>
      <c r="D3" s="54">
        <f>'Nutritional status distribution'!E11 * 2.6</f>
        <v>0.13780000000000001</v>
      </c>
      <c r="E3" s="54">
        <f>'Nutritional status distribution'!F11 * 2.6</f>
        <v>0.10659999999999999</v>
      </c>
      <c r="F3" s="54">
        <f>'Nutritional status distribution'!G11 * 2.6</f>
        <v>5.4600000000000003E-2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39997558519241921"/>
  </sheetPr>
  <dimension ref="A1:E21"/>
  <sheetViews>
    <sheetView zoomScale="115" zoomScaleNormal="115" workbookViewId="0">
      <selection activeCell="E14" sqref="E14:E15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4" t="s">
        <v>99</v>
      </c>
      <c r="B1" s="4" t="s">
        <v>98</v>
      </c>
      <c r="C1" s="4" t="s">
        <v>96</v>
      </c>
      <c r="D1" s="4" t="s">
        <v>97</v>
      </c>
      <c r="E1" s="4" t="s">
        <v>103</v>
      </c>
    </row>
    <row r="2" spans="1:5" x14ac:dyDescent="0.15">
      <c r="A2" s="17" t="s">
        <v>100</v>
      </c>
      <c r="B2" s="18" t="s">
        <v>36</v>
      </c>
      <c r="C2" s="18" t="s">
        <v>104</v>
      </c>
      <c r="D2" s="18" t="s">
        <v>104</v>
      </c>
      <c r="E2" s="91"/>
    </row>
    <row r="3" spans="1:5" x14ac:dyDescent="0.15">
      <c r="A3" s="19"/>
      <c r="B3" s="20" t="s">
        <v>1</v>
      </c>
      <c r="C3" s="20"/>
      <c r="D3" s="20"/>
      <c r="E3" s="92"/>
    </row>
    <row r="4" spans="1:5" x14ac:dyDescent="0.15">
      <c r="A4" s="19"/>
      <c r="B4" s="20" t="s">
        <v>2</v>
      </c>
      <c r="C4" s="20"/>
      <c r="D4" s="20"/>
      <c r="E4" s="92"/>
    </row>
    <row r="5" spans="1:5" x14ac:dyDescent="0.15">
      <c r="A5" s="19"/>
      <c r="B5" s="20" t="s">
        <v>3</v>
      </c>
      <c r="C5" s="20"/>
      <c r="D5" s="20"/>
      <c r="E5" s="92"/>
    </row>
    <row r="6" spans="1:5" x14ac:dyDescent="0.15">
      <c r="A6" s="19"/>
      <c r="B6" s="20" t="s">
        <v>4</v>
      </c>
      <c r="C6" s="20"/>
      <c r="D6" s="20"/>
      <c r="E6" s="92"/>
    </row>
    <row r="7" spans="1:5" x14ac:dyDescent="0.15">
      <c r="A7" s="21"/>
      <c r="B7" s="22" t="s">
        <v>56</v>
      </c>
      <c r="C7" s="93"/>
      <c r="D7" s="93"/>
      <c r="E7" s="23"/>
    </row>
    <row r="9" spans="1:5" x14ac:dyDescent="0.15">
      <c r="A9" s="17" t="s">
        <v>101</v>
      </c>
      <c r="B9" s="18" t="s">
        <v>36</v>
      </c>
      <c r="C9" s="18"/>
      <c r="D9" s="18"/>
      <c r="E9" s="91"/>
    </row>
    <row r="10" spans="1:5" x14ac:dyDescent="0.15">
      <c r="A10" s="19"/>
      <c r="B10" s="20" t="s">
        <v>1</v>
      </c>
      <c r="C10" s="20" t="s">
        <v>104</v>
      </c>
      <c r="D10" s="20" t="s">
        <v>104</v>
      </c>
      <c r="E10" s="92"/>
    </row>
    <row r="11" spans="1:5" x14ac:dyDescent="0.15">
      <c r="A11" s="19"/>
      <c r="B11" s="20" t="s">
        <v>2</v>
      </c>
      <c r="C11" s="20"/>
      <c r="D11" s="20"/>
      <c r="E11" s="92"/>
    </row>
    <row r="12" spans="1:5" x14ac:dyDescent="0.15">
      <c r="A12" s="19"/>
      <c r="B12" s="20" t="s">
        <v>3</v>
      </c>
      <c r="C12" s="20"/>
      <c r="D12" s="20"/>
      <c r="E12" s="92"/>
    </row>
    <row r="13" spans="1:5" x14ac:dyDescent="0.15">
      <c r="A13" s="19"/>
      <c r="B13" s="20" t="s">
        <v>4</v>
      </c>
      <c r="C13" s="20"/>
      <c r="D13" s="20"/>
      <c r="E13" s="92"/>
    </row>
    <row r="14" spans="1:5" x14ac:dyDescent="0.15">
      <c r="A14" s="21"/>
      <c r="B14" s="22" t="s">
        <v>56</v>
      </c>
      <c r="C14" s="93"/>
      <c r="D14" s="93"/>
      <c r="E14" s="23"/>
    </row>
    <row r="16" spans="1:5" x14ac:dyDescent="0.15">
      <c r="A16" s="17" t="s">
        <v>102</v>
      </c>
      <c r="B16" s="18" t="s">
        <v>36</v>
      </c>
      <c r="C16" s="18"/>
      <c r="D16" s="18"/>
      <c r="E16" s="91"/>
    </row>
    <row r="17" spans="1:5" x14ac:dyDescent="0.15">
      <c r="A17" s="19"/>
      <c r="B17" s="20" t="s">
        <v>1</v>
      </c>
      <c r="C17" s="20"/>
      <c r="D17" s="20"/>
      <c r="E17" s="92"/>
    </row>
    <row r="18" spans="1:5" x14ac:dyDescent="0.15">
      <c r="A18" s="19"/>
      <c r="B18" s="20" t="s">
        <v>2</v>
      </c>
      <c r="C18" s="20"/>
      <c r="D18" s="20"/>
      <c r="E18" s="92"/>
    </row>
    <row r="19" spans="1:5" x14ac:dyDescent="0.15">
      <c r="A19" s="19"/>
      <c r="B19" s="20" t="s">
        <v>3</v>
      </c>
      <c r="C19" s="20"/>
      <c r="D19" s="20"/>
      <c r="E19" s="92"/>
    </row>
    <row r="20" spans="1:5" x14ac:dyDescent="0.15">
      <c r="A20" s="19"/>
      <c r="B20" s="20" t="s">
        <v>4</v>
      </c>
      <c r="C20" s="20"/>
      <c r="D20" s="20"/>
      <c r="E20" s="92"/>
    </row>
    <row r="21" spans="1:5" x14ac:dyDescent="0.15">
      <c r="A21" s="21"/>
      <c r="B21" s="22" t="s">
        <v>56</v>
      </c>
      <c r="C21" s="93"/>
      <c r="D21" s="93"/>
      <c r="E21" s="23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39997558519241921"/>
  </sheetPr>
  <dimension ref="A1:E12"/>
  <sheetViews>
    <sheetView workbookViewId="0">
      <selection activeCell="G61" sqref="G61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4" t="s">
        <v>105</v>
      </c>
      <c r="B1" s="4" t="s">
        <v>98</v>
      </c>
      <c r="C1" s="4" t="s">
        <v>96</v>
      </c>
      <c r="D1" s="4" t="s">
        <v>97</v>
      </c>
      <c r="E1" s="4" t="s">
        <v>103</v>
      </c>
    </row>
    <row r="2" spans="1:5" x14ac:dyDescent="0.15">
      <c r="A2" s="4" t="s">
        <v>106</v>
      </c>
      <c r="B2" t="s">
        <v>36</v>
      </c>
      <c r="C2">
        <f>'Baseline year population inputs'!C6</f>
        <v>0.5</v>
      </c>
      <c r="D2">
        <v>1</v>
      </c>
      <c r="E2">
        <v>1</v>
      </c>
    </row>
    <row r="3" spans="1:5" x14ac:dyDescent="0.15">
      <c r="B3" t="s">
        <v>1</v>
      </c>
      <c r="C3">
        <f>'Baseline year population inputs'!C7</f>
        <v>0.3</v>
      </c>
      <c r="D3">
        <v>1</v>
      </c>
      <c r="E3">
        <v>1</v>
      </c>
    </row>
    <row r="4" spans="1:5" x14ac:dyDescent="0.15">
      <c r="B4" t="s">
        <v>2</v>
      </c>
      <c r="C4">
        <f>'Baseline year population inputs'!C7</f>
        <v>0.3</v>
      </c>
      <c r="D4">
        <v>1</v>
      </c>
      <c r="E4">
        <v>1</v>
      </c>
    </row>
    <row r="5" spans="1:5" x14ac:dyDescent="0.15">
      <c r="B5" t="s">
        <v>3</v>
      </c>
      <c r="C5">
        <f>'Baseline year population inputs'!C7</f>
        <v>0.3</v>
      </c>
      <c r="D5">
        <v>1</v>
      </c>
      <c r="E5">
        <v>1</v>
      </c>
    </row>
    <row r="6" spans="1:5" x14ac:dyDescent="0.15">
      <c r="B6" t="s">
        <v>4</v>
      </c>
      <c r="C6">
        <f>'Baseline year population inputs'!C7</f>
        <v>0.3</v>
      </c>
      <c r="D6">
        <v>1</v>
      </c>
      <c r="E6">
        <v>1</v>
      </c>
    </row>
    <row r="8" spans="1:5" x14ac:dyDescent="0.15">
      <c r="A8" s="4" t="s">
        <v>107</v>
      </c>
      <c r="B8" t="s">
        <v>36</v>
      </c>
      <c r="C8">
        <f>1.5*0.61</f>
        <v>0.91500000000000004</v>
      </c>
      <c r="D8">
        <f>0.5*0.61</f>
        <v>0.30499999999999999</v>
      </c>
      <c r="E8">
        <v>0.05</v>
      </c>
    </row>
    <row r="9" spans="1:5" x14ac:dyDescent="0.15">
      <c r="B9" t="s">
        <v>1</v>
      </c>
      <c r="C9">
        <f t="shared" ref="C9:C12" si="0">1.5*0.61</f>
        <v>0.91500000000000004</v>
      </c>
      <c r="D9">
        <f t="shared" ref="D9:D12" si="1">0.5*0.61</f>
        <v>0.30499999999999999</v>
      </c>
      <c r="E9">
        <v>0.05</v>
      </c>
    </row>
    <row r="10" spans="1:5" x14ac:dyDescent="0.15">
      <c r="B10" t="s">
        <v>2</v>
      </c>
      <c r="C10">
        <f t="shared" si="0"/>
        <v>0.91500000000000004</v>
      </c>
      <c r="D10">
        <f t="shared" si="1"/>
        <v>0.30499999999999999</v>
      </c>
      <c r="E10">
        <v>0.05</v>
      </c>
    </row>
    <row r="11" spans="1:5" x14ac:dyDescent="0.15">
      <c r="B11" t="s">
        <v>3</v>
      </c>
      <c r="C11">
        <f t="shared" si="0"/>
        <v>0.91500000000000004</v>
      </c>
      <c r="D11">
        <f t="shared" si="1"/>
        <v>0.30499999999999999</v>
      </c>
      <c r="E11">
        <v>0.05</v>
      </c>
    </row>
    <row r="12" spans="1:5" x14ac:dyDescent="0.15">
      <c r="B12" t="s">
        <v>4</v>
      </c>
      <c r="C12">
        <f t="shared" si="0"/>
        <v>0.91500000000000004</v>
      </c>
      <c r="D12">
        <f t="shared" si="1"/>
        <v>0.30499999999999999</v>
      </c>
      <c r="E12">
        <v>0.05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 tint="0.39997558519241921"/>
  </sheetPr>
  <dimension ref="A1:O53"/>
  <sheetViews>
    <sheetView zoomScale="85" zoomScaleNormal="118" workbookViewId="0">
      <selection activeCell="G61" sqref="G61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37</v>
      </c>
      <c r="B1" s="1" t="s">
        <v>110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15">
      <c r="A2" s="4" t="s">
        <v>35</v>
      </c>
      <c r="B2" s="28" t="s">
        <v>85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5.75" customHeight="1" x14ac:dyDescent="0.15">
      <c r="B3" s="28" t="s">
        <v>32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5.75" customHeight="1" x14ac:dyDescent="0.15">
      <c r="B4" s="28" t="s">
        <v>74</v>
      </c>
      <c r="C4" s="2">
        <v>0</v>
      </c>
      <c r="D4" s="2">
        <v>0</v>
      </c>
      <c r="E4" s="80">
        <f>food_insecure</f>
        <v>0.36</v>
      </c>
      <c r="F4" s="80">
        <f>food_insecure</f>
        <v>0.36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5.75" customHeight="1" x14ac:dyDescent="0.15">
      <c r="B5" s="28" t="s">
        <v>203</v>
      </c>
      <c r="C5" s="2">
        <v>0</v>
      </c>
      <c r="D5" s="2">
        <v>0</v>
      </c>
      <c r="E5" s="80">
        <f>food_insecure*(1-frac_malaria_risk)</f>
        <v>0.32400000000000001</v>
      </c>
      <c r="F5" s="80">
        <f>food_insecure*(1-frac_malaria_risk)</f>
        <v>0.32400000000000001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5.75" customHeight="1" x14ac:dyDescent="0.15">
      <c r="B6" s="28" t="s">
        <v>204</v>
      </c>
      <c r="C6" s="2">
        <v>0</v>
      </c>
      <c r="D6" s="2">
        <v>0</v>
      </c>
      <c r="E6" s="80">
        <f>food_insecure*frac_malaria_risk</f>
        <v>3.5999999999999997E-2</v>
      </c>
      <c r="F6" s="80">
        <f>food_insecure*frac_malaria_risk</f>
        <v>3.5999999999999997E-2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5.75" customHeight="1" x14ac:dyDescent="0.15">
      <c r="B7" s="28" t="s">
        <v>205</v>
      </c>
      <c r="C7" s="2">
        <v>0</v>
      </c>
      <c r="D7" s="2">
        <v>0</v>
      </c>
      <c r="E7" s="80">
        <f>(1-frac_malaria_risk)</f>
        <v>0.9</v>
      </c>
      <c r="F7" s="80">
        <f>(1-frac_malaria_risk)</f>
        <v>0.9</v>
      </c>
      <c r="G7" s="80">
        <f>(1-frac_malaria_risk)</f>
        <v>0.9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5.75" customHeight="1" x14ac:dyDescent="0.15">
      <c r="B8" s="28" t="s">
        <v>206</v>
      </c>
      <c r="C8" s="2">
        <v>0</v>
      </c>
      <c r="D8" s="2">
        <v>0</v>
      </c>
      <c r="E8" s="80">
        <f>frac_malaria_risk</f>
        <v>0.1</v>
      </c>
      <c r="F8" s="80">
        <f>frac_malaria_risk</f>
        <v>0.1</v>
      </c>
      <c r="G8" s="80">
        <f>frac_malaria_risk</f>
        <v>0.1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5.75" customHeight="1" x14ac:dyDescent="0.15">
      <c r="B9" s="28" t="s">
        <v>88</v>
      </c>
      <c r="C9" s="29">
        <v>0</v>
      </c>
      <c r="D9" s="80">
        <f>food_insecure</f>
        <v>0.36</v>
      </c>
      <c r="E9" s="80">
        <f>food_insecure</f>
        <v>0.36</v>
      </c>
      <c r="F9" s="80">
        <f>food_insecure</f>
        <v>0.36</v>
      </c>
      <c r="G9" s="80">
        <f>food_insecure</f>
        <v>0.36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5.75" customHeight="1" x14ac:dyDescent="0.15">
      <c r="B10" s="28" t="s">
        <v>94</v>
      </c>
      <c r="C10" s="29">
        <v>0</v>
      </c>
      <c r="D10" s="29">
        <v>1</v>
      </c>
      <c r="E10" s="29">
        <v>1</v>
      </c>
      <c r="F10" s="29">
        <v>1</v>
      </c>
      <c r="G10" s="29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5.75" customHeight="1" x14ac:dyDescent="0.15">
      <c r="B11" s="28" t="s">
        <v>95</v>
      </c>
      <c r="C11" s="29">
        <v>0</v>
      </c>
      <c r="D11" s="29">
        <v>1</v>
      </c>
      <c r="E11" s="29">
        <v>1</v>
      </c>
      <c r="F11" s="29">
        <v>1</v>
      </c>
      <c r="G11" s="29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.75" customHeight="1" x14ac:dyDescent="0.15">
      <c r="B12" s="10" t="s">
        <v>220</v>
      </c>
      <c r="C12" s="83">
        <v>1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ht="15.75" customHeight="1" x14ac:dyDescent="0.15">
      <c r="B13" s="71"/>
    </row>
    <row r="14" spans="1:15" ht="15.75" customHeight="1" x14ac:dyDescent="0.15">
      <c r="A14" s="4" t="s">
        <v>36</v>
      </c>
      <c r="B14" s="71" t="s">
        <v>33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80">
        <f>food_insecure</f>
        <v>0.36</v>
      </c>
      <c r="I14" s="80">
        <f>food_insecure</f>
        <v>0.36</v>
      </c>
      <c r="J14" s="80">
        <f>food_insecure</f>
        <v>0.36</v>
      </c>
      <c r="K14" s="80">
        <f>food_insecure</f>
        <v>0.36</v>
      </c>
      <c r="L14" s="2">
        <v>0</v>
      </c>
      <c r="M14" s="2">
        <v>0</v>
      </c>
      <c r="N14" s="2">
        <v>0</v>
      </c>
      <c r="O14" s="2">
        <v>0</v>
      </c>
    </row>
    <row r="15" spans="1:15" ht="15.75" customHeight="1" x14ac:dyDescent="0.15">
      <c r="A15" s="4"/>
      <c r="B15" s="71" t="s">
        <v>82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81">
        <f>1-frac_malaria_risk</f>
        <v>0.9</v>
      </c>
      <c r="I15" s="81">
        <f>1-frac_malaria_risk</f>
        <v>0.9</v>
      </c>
      <c r="J15" s="81">
        <f>1-frac_malaria_risk</f>
        <v>0.9</v>
      </c>
      <c r="K15" s="81">
        <f>1-frac_malaria_risk</f>
        <v>0.9</v>
      </c>
      <c r="L15" s="2">
        <v>0</v>
      </c>
      <c r="M15" s="2">
        <v>0</v>
      </c>
      <c r="N15" s="2">
        <v>0</v>
      </c>
      <c r="O15" s="2">
        <v>0</v>
      </c>
    </row>
    <row r="16" spans="1:15" ht="15.75" customHeight="1" x14ac:dyDescent="0.15">
      <c r="B16" s="71" t="s">
        <v>83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80">
        <f>frac_malaria_risk</f>
        <v>0.1</v>
      </c>
      <c r="I16" s="80">
        <f>frac_malaria_risk</f>
        <v>0.1</v>
      </c>
      <c r="J16" s="80">
        <f>frac_malaria_risk</f>
        <v>0.1</v>
      </c>
      <c r="K16" s="80">
        <f>frac_malaria_risk</f>
        <v>0.1</v>
      </c>
      <c r="L16" s="2">
        <v>0</v>
      </c>
      <c r="M16" s="2">
        <v>0</v>
      </c>
      <c r="N16" s="2">
        <v>0</v>
      </c>
      <c r="O16" s="2">
        <v>0</v>
      </c>
    </row>
    <row r="17" spans="1:15" ht="15.75" customHeight="1" x14ac:dyDescent="0.15">
      <c r="B17" s="28" t="s">
        <v>38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81">
        <f xml:space="preserve"> 1-frac_malaria_risk</f>
        <v>0.9</v>
      </c>
      <c r="I17" s="81">
        <f xml:space="preserve"> 1-frac_malaria_risk</f>
        <v>0.9</v>
      </c>
      <c r="J17" s="81">
        <f xml:space="preserve"> 1-frac_malaria_risk</f>
        <v>0.9</v>
      </c>
      <c r="K17" s="81">
        <f xml:space="preserve"> 1-frac_malaria_risk</f>
        <v>0.9</v>
      </c>
      <c r="L17" s="2">
        <v>0</v>
      </c>
      <c r="M17" s="2">
        <v>0</v>
      </c>
      <c r="N17" s="2">
        <v>0</v>
      </c>
      <c r="O17" s="2">
        <v>0</v>
      </c>
    </row>
    <row r="18" spans="1:15" ht="15.75" customHeight="1" x14ac:dyDescent="0.15">
      <c r="B18" s="28" t="s">
        <v>84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81">
        <f t="shared" ref="H18:K19" si="0">frac_malaria_risk</f>
        <v>0.1</v>
      </c>
      <c r="I18" s="81">
        <f t="shared" si="0"/>
        <v>0.1</v>
      </c>
      <c r="J18" s="81">
        <f t="shared" si="0"/>
        <v>0.1</v>
      </c>
      <c r="K18" s="81">
        <f t="shared" si="0"/>
        <v>0.1</v>
      </c>
      <c r="L18" s="2">
        <v>0</v>
      </c>
      <c r="M18" s="2">
        <v>0</v>
      </c>
      <c r="N18" s="2">
        <v>0</v>
      </c>
      <c r="O18" s="2">
        <v>0</v>
      </c>
    </row>
    <row r="19" spans="1:15" ht="15.75" customHeight="1" x14ac:dyDescent="0.15">
      <c r="B19" s="71" t="s">
        <v>66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81">
        <f t="shared" si="0"/>
        <v>0.1</v>
      </c>
      <c r="I19" s="81">
        <f t="shared" si="0"/>
        <v>0.1</v>
      </c>
      <c r="J19" s="81">
        <f t="shared" si="0"/>
        <v>0.1</v>
      </c>
      <c r="K19" s="81">
        <f t="shared" si="0"/>
        <v>0.1</v>
      </c>
      <c r="L19" s="2">
        <v>0</v>
      </c>
      <c r="M19" s="2">
        <v>0</v>
      </c>
      <c r="N19" s="2">
        <v>0</v>
      </c>
      <c r="O19" s="2">
        <v>0</v>
      </c>
    </row>
    <row r="20" spans="1:15" ht="15.75" customHeight="1" x14ac:dyDescent="0.15">
      <c r="B20" s="71"/>
    </row>
    <row r="21" spans="1:15" ht="15.75" customHeight="1" x14ac:dyDescent="0.15">
      <c r="A21" s="4" t="s">
        <v>45</v>
      </c>
      <c r="B21" s="71" t="s">
        <v>67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3">
        <v>0</v>
      </c>
      <c r="J21" s="13">
        <v>0</v>
      </c>
      <c r="K21" s="13">
        <v>0</v>
      </c>
      <c r="L21" s="80">
        <f>food_insecure*(1-frac_malaria_risk)*1*school_attendance</f>
        <v>0.114048</v>
      </c>
      <c r="M21" s="80">
        <v>0</v>
      </c>
      <c r="N21" s="80">
        <v>0</v>
      </c>
      <c r="O21" s="80">
        <v>0</v>
      </c>
    </row>
    <row r="22" spans="1:15" ht="15.75" customHeight="1" x14ac:dyDescent="0.15">
      <c r="B22" s="71" t="s">
        <v>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13">
        <v>0</v>
      </c>
      <c r="J22" s="13">
        <v>0</v>
      </c>
      <c r="K22" s="13">
        <v>0</v>
      </c>
      <c r="L22" s="80">
        <f>food_insecure*(1-frac_malaria_risk)*(0.7)*(1-school_attendance)</f>
        <v>0.1469664</v>
      </c>
      <c r="M22" s="80">
        <f>food_insecure*(1-frac_malaria_risk)*(0.7)</f>
        <v>0.2268</v>
      </c>
      <c r="N22" s="80">
        <f>food_insecure*(1-frac_malaria_risk)*(0.7)</f>
        <v>0.2268</v>
      </c>
      <c r="O22" s="80">
        <f>food_insecure*(1-frac_malaria_risk)*(0.7)</f>
        <v>0.2268</v>
      </c>
    </row>
    <row r="23" spans="1:15" ht="15.75" customHeight="1" x14ac:dyDescent="0.15">
      <c r="B23" s="71" t="s">
        <v>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3">
        <v>0</v>
      </c>
      <c r="J23" s="13">
        <v>0</v>
      </c>
      <c r="K23" s="13">
        <v>0</v>
      </c>
      <c r="L23" s="80">
        <f>food_insecure*(1-frac_malaria_risk)*(0.3)*(1-school_attendance)</f>
        <v>6.2985600000000003E-2</v>
      </c>
      <c r="M23" s="80">
        <f>food_insecure*(1-frac_malaria_risk)*(0.3)</f>
        <v>9.7199999999999995E-2</v>
      </c>
      <c r="N23" s="80">
        <f>food_insecure*(1-frac_malaria_risk)*(0.3)</f>
        <v>9.7199999999999995E-2</v>
      </c>
      <c r="O23" s="80">
        <f>food_insecure*(1-frac_malaria_risk)*(0.3)</f>
        <v>9.7199999999999995E-2</v>
      </c>
    </row>
    <row r="24" spans="1:15" ht="15.75" customHeight="1" x14ac:dyDescent="0.15">
      <c r="B24" s="71" t="s">
        <v>70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13">
        <v>0</v>
      </c>
      <c r="J24" s="13">
        <v>0</v>
      </c>
      <c r="K24" s="13">
        <v>0</v>
      </c>
      <c r="L24" s="80">
        <f>(1-food_insecure)*(1-frac_malaria_risk)*1*school_attendance</f>
        <v>0.20275200000000002</v>
      </c>
      <c r="M24" s="80">
        <v>0</v>
      </c>
      <c r="N24" s="80">
        <v>0</v>
      </c>
      <c r="O24" s="80">
        <v>0</v>
      </c>
    </row>
    <row r="25" spans="1:15" ht="15.75" customHeight="1" x14ac:dyDescent="0.15">
      <c r="B25" s="71" t="s">
        <v>71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13">
        <v>0</v>
      </c>
      <c r="J25" s="13">
        <v>0</v>
      </c>
      <c r="K25" s="13">
        <v>0</v>
      </c>
      <c r="L25" s="80">
        <f>(1-food_insecure)*(1-frac_malaria_risk)*(0.49)*(1-school_attendance)</f>
        <v>0.18289152000000003</v>
      </c>
      <c r="M25" s="80">
        <f>(1-food_insecure)*(1-frac_malaria_risk)*(0.49)</f>
        <v>0.28224000000000005</v>
      </c>
      <c r="N25" s="80">
        <f>(1-food_insecure)*(1-frac_malaria_risk)*(0.49)</f>
        <v>0.28224000000000005</v>
      </c>
      <c r="O25" s="80">
        <f>(1-food_insecure)*(1-frac_malaria_risk)*(0.49)</f>
        <v>0.28224000000000005</v>
      </c>
    </row>
    <row r="26" spans="1:15" ht="15.75" customHeight="1" x14ac:dyDescent="0.15">
      <c r="B26" s="71" t="s">
        <v>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13">
        <v>0</v>
      </c>
      <c r="J26" s="13">
        <v>0</v>
      </c>
      <c r="K26" s="13">
        <v>0</v>
      </c>
      <c r="L26" s="80">
        <f>(1-food_insecure)*(1-frac_malaria_risk)*(0.21)*(1-school_attendance)</f>
        <v>7.8382080000000007E-2</v>
      </c>
      <c r="M26" s="80">
        <f>(1-food_insecure)*(1-frac_malaria_risk)*(0.21)</f>
        <v>0.12096000000000001</v>
      </c>
      <c r="N26" s="80">
        <f>(1-food_insecure)*(1-frac_malaria_risk)*(0.21)</f>
        <v>0.12096000000000001</v>
      </c>
      <c r="O26" s="80">
        <f>(1-food_insecure)*(1-frac_malaria_risk)*(0.21)</f>
        <v>0.12096000000000001</v>
      </c>
    </row>
    <row r="27" spans="1:15" ht="15.75" customHeight="1" x14ac:dyDescent="0.15">
      <c r="B27" s="71" t="s">
        <v>73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13">
        <v>0</v>
      </c>
      <c r="J27" s="13">
        <v>0</v>
      </c>
      <c r="K27" s="13">
        <v>0</v>
      </c>
      <c r="L27" s="80">
        <f>(1-food_insecure)*(1-frac_malaria_risk)*(0.3)*(1-school_attendance)</f>
        <v>0.11197440000000002</v>
      </c>
      <c r="M27" s="80">
        <f>(1-food_insecure)*(1-frac_malaria_risk)*(0.3)</f>
        <v>0.17280000000000001</v>
      </c>
      <c r="N27" s="80">
        <f>(1-food_insecure)*(1-frac_malaria_risk)*(0.3)</f>
        <v>0.17280000000000001</v>
      </c>
      <c r="O27" s="80">
        <f>(1-food_insecure)*(1-frac_malaria_risk)*(0.3)</f>
        <v>0.17280000000000001</v>
      </c>
    </row>
    <row r="28" spans="1:15" ht="15.75" customHeight="1" x14ac:dyDescent="0.15">
      <c r="A28" s="4"/>
      <c r="B28" s="71" t="s">
        <v>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3">
        <v>0</v>
      </c>
      <c r="J28" s="13">
        <v>0</v>
      </c>
      <c r="K28" s="13">
        <v>0</v>
      </c>
      <c r="L28" s="80">
        <f>food_insecure*(frac_malaria_risk)*1*school_attendance</f>
        <v>1.2671999999999998E-2</v>
      </c>
      <c r="M28" s="80">
        <v>0</v>
      </c>
      <c r="N28" s="80">
        <v>0</v>
      </c>
      <c r="O28" s="80">
        <v>0</v>
      </c>
    </row>
    <row r="29" spans="1:15" ht="15.75" customHeight="1" x14ac:dyDescent="0.15">
      <c r="B29" s="71" t="s">
        <v>76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3">
        <v>0</v>
      </c>
      <c r="J29" s="13">
        <v>0</v>
      </c>
      <c r="K29" s="13">
        <v>0</v>
      </c>
      <c r="L29" s="80">
        <f>food_insecure*(frac_malaria_risk)*(0.7)*(1-school_attendance)</f>
        <v>1.63296E-2</v>
      </c>
      <c r="M29" s="80">
        <f>food_insecure*(frac_malaria_risk)*(0.7)</f>
        <v>2.5199999999999997E-2</v>
      </c>
      <c r="N29" s="80">
        <f>food_insecure*(frac_malaria_risk)*(0.7)</f>
        <v>2.5199999999999997E-2</v>
      </c>
      <c r="O29" s="80">
        <f>food_insecure*(frac_malaria_risk)*(0.7)</f>
        <v>2.5199999999999997E-2</v>
      </c>
    </row>
    <row r="30" spans="1:15" ht="15.75" customHeight="1" x14ac:dyDescent="0.15">
      <c r="B30" s="71" t="s">
        <v>77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13">
        <v>0</v>
      </c>
      <c r="J30" s="13">
        <v>0</v>
      </c>
      <c r="K30" s="13">
        <v>0</v>
      </c>
      <c r="L30" s="80">
        <f>food_insecure*(frac_malaria_risk)*(0.3)*(1-school_attendance)</f>
        <v>6.9983999999999992E-3</v>
      </c>
      <c r="M30" s="80">
        <f>food_insecure*(1-frac_malaria_risk)*(0.3)</f>
        <v>9.7199999999999995E-2</v>
      </c>
      <c r="N30" s="80">
        <f>food_insecure*(1-frac_malaria_risk)*(0.3)</f>
        <v>9.7199999999999995E-2</v>
      </c>
      <c r="O30" s="80">
        <f>food_insecure*(1-frac_malaria_risk)*(0.3)</f>
        <v>9.7199999999999995E-2</v>
      </c>
    </row>
    <row r="31" spans="1:15" ht="15.75" customHeight="1" x14ac:dyDescent="0.15">
      <c r="B31" s="7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3">
        <v>0</v>
      </c>
      <c r="J31" s="13">
        <v>0</v>
      </c>
      <c r="K31" s="13">
        <v>0</v>
      </c>
      <c r="L31" s="80">
        <f>(1-food_insecure)*(frac_malaria_risk)*1*school_attendance</f>
        <v>2.2527999999999999E-2</v>
      </c>
      <c r="M31" s="80">
        <v>0</v>
      </c>
      <c r="N31" s="80">
        <v>0</v>
      </c>
      <c r="O31" s="80">
        <v>0</v>
      </c>
    </row>
    <row r="32" spans="1:15" ht="15.75" customHeight="1" x14ac:dyDescent="0.15">
      <c r="B32" s="71" t="s">
        <v>79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13">
        <v>0</v>
      </c>
      <c r="J32" s="13">
        <v>0</v>
      </c>
      <c r="K32" s="13">
        <v>0</v>
      </c>
      <c r="L32" s="80">
        <f>(1-food_insecure)*(frac_malaria_risk)*(0.49)*(1-school_attendance)</f>
        <v>2.0321280000000001E-2</v>
      </c>
      <c r="M32" s="80">
        <f>(1-food_insecure)*(frac_malaria_risk)*(0.49)</f>
        <v>3.1359999999999999E-2</v>
      </c>
      <c r="N32" s="80">
        <f>(1-food_insecure)*(frac_malaria_risk)*(0.49)</f>
        <v>3.1359999999999999E-2</v>
      </c>
      <c r="O32" s="80">
        <f>(1-food_insecure)*(frac_malaria_risk)*(0.49)</f>
        <v>3.1359999999999999E-2</v>
      </c>
    </row>
    <row r="33" spans="1:15" ht="15.75" customHeight="1" x14ac:dyDescent="0.15">
      <c r="B33" s="71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13">
        <v>0</v>
      </c>
      <c r="J33" s="13">
        <v>0</v>
      </c>
      <c r="K33" s="13">
        <v>0</v>
      </c>
      <c r="L33" s="80">
        <f>(1-food_insecure)*(frac_malaria_risk)*(0.21)*(1-school_attendance)</f>
        <v>8.7091200000000007E-3</v>
      </c>
      <c r="M33" s="80">
        <f>(1-food_insecure)*(frac_malaria_risk)*(0.21)</f>
        <v>1.3440000000000001E-2</v>
      </c>
      <c r="N33" s="80">
        <f>(1-food_insecure)*(frac_malaria_risk)*(0.21)</f>
        <v>1.3440000000000001E-2</v>
      </c>
      <c r="O33" s="80">
        <f>(1-food_insecure)*(frac_malaria_risk)*(0.21)</f>
        <v>1.3440000000000001E-2</v>
      </c>
    </row>
    <row r="34" spans="1:15" ht="15.75" customHeight="1" x14ac:dyDescent="0.15">
      <c r="B34" s="71" t="s">
        <v>81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13">
        <v>0</v>
      </c>
      <c r="J34" s="13">
        <v>0</v>
      </c>
      <c r="K34" s="13">
        <v>0</v>
      </c>
      <c r="L34" s="80">
        <f>(1-food_insecure)*(frac_malaria_risk)*(0.3)*(1-school_attendance)</f>
        <v>1.2441599999999999E-2</v>
      </c>
      <c r="M34" s="80">
        <f>(1-food_insecure)*(frac_malaria_risk)*(0.3)</f>
        <v>1.9199999999999998E-2</v>
      </c>
      <c r="N34" s="80">
        <f>(1-food_insecure)*(frac_malaria_risk)*(0.3)</f>
        <v>1.9199999999999998E-2</v>
      </c>
      <c r="O34" s="80">
        <f>(1-food_insecure)*(frac_malaria_risk)*(0.3)</f>
        <v>1.9199999999999998E-2</v>
      </c>
    </row>
    <row r="35" spans="1:15" ht="15.75" customHeight="1" x14ac:dyDescent="0.15">
      <c r="B35" s="71" t="s">
        <v>108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13">
        <v>0</v>
      </c>
      <c r="J35" s="13">
        <v>0</v>
      </c>
      <c r="K35" s="13">
        <v>0</v>
      </c>
      <c r="L35" s="80">
        <v>1</v>
      </c>
      <c r="M35" s="80">
        <v>1</v>
      </c>
      <c r="N35" s="80">
        <v>1</v>
      </c>
      <c r="O35" s="80">
        <v>1</v>
      </c>
    </row>
    <row r="36" spans="1:15" ht="15.75" customHeight="1" x14ac:dyDescent="0.15">
      <c r="B36" s="71" t="s">
        <v>142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13">
        <v>0</v>
      </c>
      <c r="J36" s="13">
        <v>0</v>
      </c>
      <c r="K36" s="13">
        <v>0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15">
      <c r="B37" s="28"/>
      <c r="C37" s="2"/>
      <c r="D37" s="2"/>
      <c r="E37" s="27"/>
      <c r="F37" s="27"/>
      <c r="G37" s="27"/>
      <c r="H37" s="27"/>
      <c r="I37" s="27"/>
    </row>
    <row r="38" spans="1:15" ht="15.75" customHeight="1" x14ac:dyDescent="0.15">
      <c r="A38" s="4" t="s">
        <v>40</v>
      </c>
      <c r="B38" s="71" t="s">
        <v>132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</row>
    <row r="39" spans="1:15" ht="15.75" customHeight="1" x14ac:dyDescent="0.15">
      <c r="B39" s="71" t="s">
        <v>133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</row>
    <row r="40" spans="1:15" ht="15.75" customHeight="1" x14ac:dyDescent="0.15">
      <c r="B40" s="71" t="s">
        <v>134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</row>
    <row r="41" spans="1:15" ht="15.75" customHeight="1" x14ac:dyDescent="0.15">
      <c r="B41" s="71" t="s">
        <v>135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</row>
    <row r="42" spans="1:15" ht="15.75" customHeight="1" x14ac:dyDescent="0.15">
      <c r="B42" s="71" t="s">
        <v>136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</row>
    <row r="43" spans="1:15" ht="15.75" customHeight="1" x14ac:dyDescent="0.15">
      <c r="B43" s="71" t="s">
        <v>137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15.75" customHeight="1" x14ac:dyDescent="0.15">
      <c r="B44" s="71" t="s">
        <v>138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15.75" customHeight="1" x14ac:dyDescent="0.15">
      <c r="B45" s="28" t="s">
        <v>139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</row>
    <row r="46" spans="1:15" ht="15.75" customHeight="1" x14ac:dyDescent="0.15">
      <c r="B46" s="28" t="s">
        <v>140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</row>
    <row r="47" spans="1:15" ht="15.75" customHeight="1" x14ac:dyDescent="0.15">
      <c r="B47" s="28" t="s">
        <v>141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</row>
    <row r="48" spans="1:15" ht="15.75" customHeight="1" x14ac:dyDescent="0.15">
      <c r="A48" s="5"/>
      <c r="B48" s="28" t="s">
        <v>39</v>
      </c>
      <c r="C48" s="81">
        <f t="shared" ref="C48:O48" si="1">frac_malaria_risk</f>
        <v>0.1</v>
      </c>
      <c r="D48" s="81">
        <f t="shared" si="1"/>
        <v>0.1</v>
      </c>
      <c r="E48" s="81">
        <f t="shared" si="1"/>
        <v>0.1</v>
      </c>
      <c r="F48" s="81">
        <f t="shared" si="1"/>
        <v>0.1</v>
      </c>
      <c r="G48" s="81">
        <f t="shared" si="1"/>
        <v>0.1</v>
      </c>
      <c r="H48" s="81">
        <f t="shared" si="1"/>
        <v>0.1</v>
      </c>
      <c r="I48" s="81">
        <f t="shared" si="1"/>
        <v>0.1</v>
      </c>
      <c r="J48" s="81">
        <f t="shared" si="1"/>
        <v>0.1</v>
      </c>
      <c r="K48" s="81">
        <f t="shared" si="1"/>
        <v>0.1</v>
      </c>
      <c r="L48" s="81">
        <f t="shared" si="1"/>
        <v>0.1</v>
      </c>
      <c r="M48" s="81">
        <f t="shared" si="1"/>
        <v>0.1</v>
      </c>
      <c r="N48" s="81">
        <f t="shared" si="1"/>
        <v>0.1</v>
      </c>
      <c r="O48" s="81">
        <f t="shared" si="1"/>
        <v>0.1</v>
      </c>
    </row>
    <row r="49" spans="2:15" s="5" customFormat="1" ht="15.75" customHeight="1" x14ac:dyDescent="0.15">
      <c r="B49" s="28" t="s">
        <v>89</v>
      </c>
      <c r="C49" s="29">
        <v>0</v>
      </c>
      <c r="D49" s="29">
        <v>0</v>
      </c>
      <c r="E49" s="81">
        <f t="shared" ref="E49:O49" si="2">frac_wheat</f>
        <v>0.12</v>
      </c>
      <c r="F49" s="81">
        <f t="shared" si="2"/>
        <v>0.12</v>
      </c>
      <c r="G49" s="81">
        <f t="shared" si="2"/>
        <v>0.12</v>
      </c>
      <c r="H49" s="81">
        <f t="shared" si="2"/>
        <v>0.12</v>
      </c>
      <c r="I49" s="81">
        <f t="shared" si="2"/>
        <v>0.12</v>
      </c>
      <c r="J49" s="81">
        <f t="shared" si="2"/>
        <v>0.12</v>
      </c>
      <c r="K49" s="81">
        <f t="shared" si="2"/>
        <v>0.12</v>
      </c>
      <c r="L49" s="81">
        <f t="shared" si="2"/>
        <v>0.12</v>
      </c>
      <c r="M49" s="81">
        <f t="shared" si="2"/>
        <v>0.12</v>
      </c>
      <c r="N49" s="81">
        <f t="shared" si="2"/>
        <v>0.12</v>
      </c>
      <c r="O49" s="81">
        <f t="shared" si="2"/>
        <v>0.12</v>
      </c>
    </row>
    <row r="50" spans="2:15" s="5" customFormat="1" ht="15.75" customHeight="1" x14ac:dyDescent="0.15">
      <c r="B50" s="28" t="s">
        <v>90</v>
      </c>
      <c r="C50" s="29">
        <v>0</v>
      </c>
      <c r="D50" s="29">
        <v>0</v>
      </c>
      <c r="E50" s="81">
        <f t="shared" ref="E50:O50" si="3">frac_maize</f>
        <v>0.05</v>
      </c>
      <c r="F50" s="81">
        <f t="shared" si="3"/>
        <v>0.05</v>
      </c>
      <c r="G50" s="81">
        <f t="shared" si="3"/>
        <v>0.05</v>
      </c>
      <c r="H50" s="81">
        <f t="shared" si="3"/>
        <v>0.05</v>
      </c>
      <c r="I50" s="81">
        <f t="shared" si="3"/>
        <v>0.05</v>
      </c>
      <c r="J50" s="81">
        <f t="shared" si="3"/>
        <v>0.05</v>
      </c>
      <c r="K50" s="81">
        <f t="shared" si="3"/>
        <v>0.05</v>
      </c>
      <c r="L50" s="81">
        <f t="shared" si="3"/>
        <v>0.05</v>
      </c>
      <c r="M50" s="81">
        <f t="shared" si="3"/>
        <v>0.05</v>
      </c>
      <c r="N50" s="81">
        <f t="shared" si="3"/>
        <v>0.05</v>
      </c>
      <c r="O50" s="81">
        <f t="shared" si="3"/>
        <v>0.05</v>
      </c>
    </row>
    <row r="51" spans="2:15" s="5" customFormat="1" ht="15.75" customHeight="1" x14ac:dyDescent="0.15">
      <c r="B51" s="28" t="s">
        <v>91</v>
      </c>
      <c r="C51" s="29">
        <v>0</v>
      </c>
      <c r="D51" s="29">
        <v>0</v>
      </c>
      <c r="E51" s="81">
        <f t="shared" ref="E51:O51" si="4">frac_rice</f>
        <v>0.8</v>
      </c>
      <c r="F51" s="81">
        <f t="shared" si="4"/>
        <v>0.8</v>
      </c>
      <c r="G51" s="81">
        <f t="shared" si="4"/>
        <v>0.8</v>
      </c>
      <c r="H51" s="81">
        <f t="shared" si="4"/>
        <v>0.8</v>
      </c>
      <c r="I51" s="81">
        <f t="shared" si="4"/>
        <v>0.8</v>
      </c>
      <c r="J51" s="81">
        <f t="shared" si="4"/>
        <v>0.8</v>
      </c>
      <c r="K51" s="81">
        <f t="shared" si="4"/>
        <v>0.8</v>
      </c>
      <c r="L51" s="81">
        <f t="shared" si="4"/>
        <v>0.8</v>
      </c>
      <c r="M51" s="81">
        <f t="shared" si="4"/>
        <v>0.8</v>
      </c>
      <c r="N51" s="81">
        <f t="shared" si="4"/>
        <v>0.8</v>
      </c>
      <c r="O51" s="81">
        <f t="shared" si="4"/>
        <v>0.8</v>
      </c>
    </row>
    <row r="52" spans="2:15" ht="15" customHeight="1" x14ac:dyDescent="0.15">
      <c r="B52" s="28" t="s">
        <v>55</v>
      </c>
      <c r="C52" s="2">
        <v>0</v>
      </c>
      <c r="D52" s="2">
        <v>0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</row>
    <row r="53" spans="2:15" ht="15.75" customHeight="1" x14ac:dyDescent="0.15">
      <c r="B53" s="7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7558519241921"/>
  </sheetPr>
  <dimension ref="A1:E54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5" ht="15.75" customHeight="1" x14ac:dyDescent="0.15">
      <c r="A1" s="1" t="s">
        <v>110</v>
      </c>
      <c r="B1" s="1" t="s">
        <v>112</v>
      </c>
      <c r="C1" s="1" t="s">
        <v>86</v>
      </c>
      <c r="D1" s="1" t="s">
        <v>87</v>
      </c>
    </row>
    <row r="2" spans="1:5" ht="15.75" customHeight="1" x14ac:dyDescent="0.15">
      <c r="A2" t="s">
        <v>33</v>
      </c>
      <c r="B2" s="100">
        <v>0</v>
      </c>
      <c r="C2" s="100">
        <v>0.85</v>
      </c>
      <c r="D2" s="87">
        <v>25</v>
      </c>
    </row>
    <row r="3" spans="1:5" ht="15.75" customHeight="1" x14ac:dyDescent="0.15">
      <c r="A3" s="30" t="s">
        <v>142</v>
      </c>
      <c r="B3" s="101">
        <v>0</v>
      </c>
      <c r="C3" s="100">
        <v>0.85</v>
      </c>
      <c r="D3" s="88">
        <v>0.8</v>
      </c>
      <c r="E3" s="16"/>
    </row>
    <row r="4" spans="1:5" ht="15.75" customHeight="1" x14ac:dyDescent="0.15">
      <c r="A4" s="3" t="s">
        <v>139</v>
      </c>
      <c r="B4" s="101">
        <v>0</v>
      </c>
      <c r="C4" s="100">
        <v>0.85</v>
      </c>
      <c r="D4" s="88">
        <v>1</v>
      </c>
      <c r="E4" s="3"/>
    </row>
    <row r="5" spans="1:5" ht="15.75" customHeight="1" x14ac:dyDescent="0.15">
      <c r="A5" s="3" t="s">
        <v>88</v>
      </c>
      <c r="B5" s="100">
        <v>0</v>
      </c>
      <c r="C5" s="100">
        <v>0.85</v>
      </c>
      <c r="D5" s="88">
        <f>180</f>
        <v>180</v>
      </c>
      <c r="E5" s="3"/>
    </row>
    <row r="6" spans="1:5" ht="15.75" customHeight="1" x14ac:dyDescent="0.15">
      <c r="A6" t="s">
        <v>108</v>
      </c>
      <c r="B6" s="101">
        <v>0.5</v>
      </c>
      <c r="C6" s="100">
        <v>0.85</v>
      </c>
      <c r="D6" s="88">
        <f>SUM('Programs family planning'!E2:E10)</f>
        <v>0.82100000000000006</v>
      </c>
      <c r="E6" s="15"/>
    </row>
    <row r="7" spans="1:5" ht="15.75" customHeight="1" x14ac:dyDescent="0.15">
      <c r="A7" s="6" t="s">
        <v>90</v>
      </c>
      <c r="B7" s="101">
        <v>0</v>
      </c>
      <c r="C7" s="100">
        <v>0.05</v>
      </c>
      <c r="D7" s="88">
        <v>0.14000000000000001</v>
      </c>
      <c r="E7" s="6"/>
    </row>
    <row r="8" spans="1:5" ht="15.75" customHeight="1" x14ac:dyDescent="0.15">
      <c r="A8" s="6" t="s">
        <v>91</v>
      </c>
      <c r="B8" s="101">
        <v>0</v>
      </c>
      <c r="C8" s="100">
        <v>0.8</v>
      </c>
      <c r="D8" s="88">
        <v>0.75</v>
      </c>
      <c r="E8" s="6"/>
    </row>
    <row r="9" spans="1:5" ht="15.75" customHeight="1" x14ac:dyDescent="0.15">
      <c r="A9" s="6" t="s">
        <v>89</v>
      </c>
      <c r="B9" s="101">
        <v>0</v>
      </c>
      <c r="C9" s="100">
        <v>0.12</v>
      </c>
      <c r="D9" s="88">
        <v>0.19</v>
      </c>
      <c r="E9" s="6"/>
    </row>
    <row r="10" spans="1:5" ht="15.75" customHeight="1" x14ac:dyDescent="0.15">
      <c r="A10" t="s">
        <v>71</v>
      </c>
      <c r="B10" s="101">
        <v>0</v>
      </c>
      <c r="C10" s="100">
        <v>0.85</v>
      </c>
      <c r="D10" s="87">
        <v>0.73</v>
      </c>
    </row>
    <row r="11" spans="1:5" ht="15.75" customHeight="1" x14ac:dyDescent="0.15">
      <c r="A11" t="s">
        <v>79</v>
      </c>
      <c r="B11" s="101">
        <v>0</v>
      </c>
      <c r="C11" s="100">
        <v>0.85</v>
      </c>
      <c r="D11" s="87">
        <v>0.73</v>
      </c>
    </row>
    <row r="12" spans="1:5" ht="15.75" customHeight="1" x14ac:dyDescent="0.15">
      <c r="A12" t="s">
        <v>72</v>
      </c>
      <c r="B12" s="101">
        <v>0</v>
      </c>
      <c r="C12" s="100">
        <v>0.85</v>
      </c>
      <c r="D12" s="87">
        <v>1.78</v>
      </c>
    </row>
    <row r="13" spans="1:5" ht="15.75" customHeight="1" x14ac:dyDescent="0.15">
      <c r="A13" t="s">
        <v>80</v>
      </c>
      <c r="B13" s="101">
        <v>0</v>
      </c>
      <c r="C13" s="100">
        <v>0.85</v>
      </c>
      <c r="D13" s="87">
        <v>1.78</v>
      </c>
    </row>
    <row r="14" spans="1:5" ht="15.75" customHeight="1" x14ac:dyDescent="0.15">
      <c r="A14" t="s">
        <v>73</v>
      </c>
      <c r="B14" s="101">
        <v>0</v>
      </c>
      <c r="C14" s="100">
        <v>0.85</v>
      </c>
      <c r="D14" s="87">
        <v>0.24</v>
      </c>
    </row>
    <row r="15" spans="1:5" ht="15.75" customHeight="1" x14ac:dyDescent="0.15">
      <c r="A15" t="s">
        <v>81</v>
      </c>
      <c r="B15" s="101">
        <v>0</v>
      </c>
      <c r="C15" s="100">
        <v>0.85</v>
      </c>
      <c r="D15" s="87">
        <v>0.24</v>
      </c>
    </row>
    <row r="16" spans="1:5" ht="15.75" customHeight="1" x14ac:dyDescent="0.15">
      <c r="A16" t="s">
        <v>70</v>
      </c>
      <c r="B16" s="101">
        <v>0</v>
      </c>
      <c r="C16" s="100">
        <v>0.85</v>
      </c>
      <c r="D16" s="87">
        <v>0.55000000000000004</v>
      </c>
    </row>
    <row r="17" spans="1:5" ht="15.75" customHeight="1" x14ac:dyDescent="0.15">
      <c r="A17" t="s">
        <v>78</v>
      </c>
      <c r="B17" s="101">
        <v>0</v>
      </c>
      <c r="C17" s="100">
        <v>0.85</v>
      </c>
      <c r="D17" s="87">
        <v>0.55000000000000004</v>
      </c>
    </row>
    <row r="18" spans="1:5" ht="15.75" customHeight="1" x14ac:dyDescent="0.15">
      <c r="A18" t="s">
        <v>68</v>
      </c>
      <c r="B18" s="101">
        <v>0</v>
      </c>
      <c r="C18" s="100">
        <v>0.85</v>
      </c>
      <c r="D18" s="87">
        <v>0.73</v>
      </c>
    </row>
    <row r="19" spans="1:5" ht="15.75" customHeight="1" x14ac:dyDescent="0.15">
      <c r="A19" t="s">
        <v>76</v>
      </c>
      <c r="B19" s="101">
        <v>0</v>
      </c>
      <c r="C19" s="100">
        <v>0.85</v>
      </c>
      <c r="D19" s="87">
        <v>0.73</v>
      </c>
    </row>
    <row r="20" spans="1:5" ht="15.75" customHeight="1" x14ac:dyDescent="0.15">
      <c r="A20" t="s">
        <v>69</v>
      </c>
      <c r="B20" s="101">
        <v>0</v>
      </c>
      <c r="C20" s="100">
        <v>0.85</v>
      </c>
      <c r="D20" s="87">
        <v>1.78</v>
      </c>
    </row>
    <row r="21" spans="1:5" ht="15.75" customHeight="1" x14ac:dyDescent="0.15">
      <c r="A21" t="s">
        <v>77</v>
      </c>
      <c r="B21" s="101">
        <v>0</v>
      </c>
      <c r="C21" s="100">
        <v>0.85</v>
      </c>
      <c r="D21" s="87">
        <v>1.78</v>
      </c>
    </row>
    <row r="22" spans="1:5" ht="15.75" customHeight="1" x14ac:dyDescent="0.15">
      <c r="A22" t="s">
        <v>67</v>
      </c>
      <c r="B22" s="101">
        <v>0</v>
      </c>
      <c r="C22" s="100">
        <v>0.85</v>
      </c>
      <c r="D22" s="87">
        <v>0.55000000000000004</v>
      </c>
    </row>
    <row r="23" spans="1:5" ht="15.75" customHeight="1" x14ac:dyDescent="0.15">
      <c r="A23" t="s">
        <v>75</v>
      </c>
      <c r="B23" s="101">
        <v>0</v>
      </c>
      <c r="C23" s="100">
        <v>0.85</v>
      </c>
      <c r="D23" s="87">
        <v>0.55000000000000004</v>
      </c>
    </row>
    <row r="24" spans="1:5" ht="15.75" customHeight="1" x14ac:dyDescent="0.15">
      <c r="A24" t="s">
        <v>66</v>
      </c>
      <c r="B24" s="101">
        <v>0</v>
      </c>
      <c r="C24" s="100">
        <v>0.85</v>
      </c>
      <c r="D24" s="87">
        <v>2.06</v>
      </c>
    </row>
    <row r="25" spans="1:5" ht="15.75" customHeight="1" x14ac:dyDescent="0.15">
      <c r="A25" s="3" t="s">
        <v>38</v>
      </c>
      <c r="B25" s="102">
        <v>0</v>
      </c>
      <c r="C25" s="100">
        <v>0.85</v>
      </c>
      <c r="D25" s="89">
        <v>1.78</v>
      </c>
      <c r="E25" s="3"/>
    </row>
    <row r="26" spans="1:5" ht="15.75" customHeight="1" x14ac:dyDescent="0.15">
      <c r="A26" s="3" t="s">
        <v>84</v>
      </c>
      <c r="B26" s="100">
        <v>0</v>
      </c>
      <c r="C26" s="100">
        <v>0.85</v>
      </c>
      <c r="D26" s="87">
        <v>1.78</v>
      </c>
      <c r="E26" s="3"/>
    </row>
    <row r="27" spans="1:5" ht="15.75" customHeight="1" x14ac:dyDescent="0.15">
      <c r="A27" s="3" t="s">
        <v>55</v>
      </c>
      <c r="B27" s="100">
        <v>0</v>
      </c>
      <c r="C27" s="100">
        <v>0.85</v>
      </c>
      <c r="D27" s="88">
        <v>0.25</v>
      </c>
      <c r="E27" s="3"/>
    </row>
    <row r="28" spans="1:5" ht="15.75" customHeight="1" x14ac:dyDescent="0.15">
      <c r="A28" s="3" t="s">
        <v>42</v>
      </c>
      <c r="B28" s="100">
        <v>0</v>
      </c>
      <c r="C28" s="100">
        <v>0.05</v>
      </c>
      <c r="D28" s="88">
        <v>0.13</v>
      </c>
      <c r="E28" s="3"/>
    </row>
    <row r="29" spans="1:5" ht="15.75" customHeight="1" x14ac:dyDescent="0.15">
      <c r="A29" s="3" t="s">
        <v>43</v>
      </c>
      <c r="B29" s="100">
        <v>0</v>
      </c>
      <c r="C29" s="100">
        <v>0.8</v>
      </c>
      <c r="D29" s="88">
        <v>0.74</v>
      </c>
      <c r="E29" s="3"/>
    </row>
    <row r="30" spans="1:5" ht="15.75" customHeight="1" x14ac:dyDescent="0.15">
      <c r="A30" s="3" t="s">
        <v>41</v>
      </c>
      <c r="B30" s="100">
        <v>0</v>
      </c>
      <c r="C30" s="100">
        <v>0.12</v>
      </c>
      <c r="D30" s="88">
        <v>0.18</v>
      </c>
      <c r="E30" s="3"/>
    </row>
    <row r="31" spans="1:5" ht="15.75" customHeight="1" x14ac:dyDescent="0.15">
      <c r="A31" s="3" t="s">
        <v>39</v>
      </c>
      <c r="B31" s="100">
        <v>0.2</v>
      </c>
      <c r="C31" s="100">
        <v>0.85</v>
      </c>
      <c r="D31" s="88">
        <v>2.61</v>
      </c>
    </row>
    <row r="32" spans="1:5" ht="15.75" customHeight="1" x14ac:dyDescent="0.15">
      <c r="A32" s="3" t="s">
        <v>141</v>
      </c>
      <c r="B32" s="101">
        <v>0</v>
      </c>
      <c r="C32" s="100">
        <v>0.85</v>
      </c>
      <c r="D32" s="88">
        <v>1</v>
      </c>
    </row>
    <row r="33" spans="1:5" ht="15.75" customHeight="1" x14ac:dyDescent="0.15">
      <c r="A33" s="3" t="s">
        <v>140</v>
      </c>
      <c r="B33" s="101">
        <v>0</v>
      </c>
      <c r="C33" s="100">
        <v>0.85</v>
      </c>
      <c r="D33" s="88">
        <v>1</v>
      </c>
    </row>
    <row r="34" spans="1:5" ht="15.75" customHeight="1" x14ac:dyDescent="0.15">
      <c r="A34" t="s">
        <v>82</v>
      </c>
      <c r="B34" s="102">
        <v>0</v>
      </c>
      <c r="C34" s="100">
        <v>0.85</v>
      </c>
      <c r="D34" s="89">
        <v>2.99</v>
      </c>
      <c r="E34" s="3"/>
    </row>
    <row r="35" spans="1:5" ht="15.75" customHeight="1" x14ac:dyDescent="0.15">
      <c r="A35" t="s">
        <v>83</v>
      </c>
      <c r="B35" s="100">
        <v>0</v>
      </c>
      <c r="C35" s="100">
        <v>0.85</v>
      </c>
      <c r="D35" s="87">
        <v>2.99</v>
      </c>
      <c r="E35" s="3"/>
    </row>
    <row r="36" spans="1:5" ht="15.75" customHeight="1" x14ac:dyDescent="0.15">
      <c r="A36" t="s">
        <v>137</v>
      </c>
      <c r="B36" s="101">
        <v>0</v>
      </c>
      <c r="C36" s="100">
        <v>0.85</v>
      </c>
      <c r="D36" s="88">
        <v>1</v>
      </c>
      <c r="E36" s="3"/>
    </row>
    <row r="37" spans="1:5" ht="15.75" customHeight="1" x14ac:dyDescent="0.15">
      <c r="A37" s="3" t="s">
        <v>74</v>
      </c>
      <c r="B37" s="100">
        <v>0</v>
      </c>
      <c r="C37" s="100">
        <v>0.85</v>
      </c>
      <c r="D37" s="87">
        <v>48</v>
      </c>
      <c r="E37" s="3"/>
    </row>
    <row r="38" spans="1:5" ht="15.75" customHeight="1" x14ac:dyDescent="0.15">
      <c r="A38" s="3" t="s">
        <v>203</v>
      </c>
      <c r="B38" s="103">
        <v>0</v>
      </c>
      <c r="C38" s="100">
        <v>0.85</v>
      </c>
      <c r="D38" s="90">
        <v>50</v>
      </c>
      <c r="E38" s="11"/>
    </row>
    <row r="39" spans="1:5" ht="15.75" customHeight="1" x14ac:dyDescent="0.15">
      <c r="A39" s="3" t="s">
        <v>204</v>
      </c>
      <c r="B39" s="101">
        <v>0</v>
      </c>
      <c r="C39" s="100">
        <v>0.85</v>
      </c>
      <c r="D39" s="88">
        <v>51</v>
      </c>
      <c r="E39" s="3"/>
    </row>
    <row r="40" spans="1:5" ht="15.75" customHeight="1" x14ac:dyDescent="0.15">
      <c r="A40" s="3" t="s">
        <v>205</v>
      </c>
      <c r="B40" s="103">
        <v>0</v>
      </c>
      <c r="C40" s="100">
        <v>0.85</v>
      </c>
      <c r="D40" s="90">
        <v>1</v>
      </c>
      <c r="E40" s="3"/>
    </row>
    <row r="41" spans="1:5" ht="15.75" customHeight="1" x14ac:dyDescent="0.15">
      <c r="A41" s="11" t="s">
        <v>206</v>
      </c>
      <c r="B41" s="101">
        <v>0</v>
      </c>
      <c r="C41" s="100">
        <v>0.85</v>
      </c>
      <c r="D41" s="88">
        <v>1</v>
      </c>
      <c r="E41" s="3"/>
    </row>
    <row r="42" spans="1:5" ht="15.75" customHeight="1" x14ac:dyDescent="0.15">
      <c r="A42" s="3" t="s">
        <v>94</v>
      </c>
      <c r="B42" s="100">
        <v>0</v>
      </c>
      <c r="C42" s="100">
        <v>0.85</v>
      </c>
      <c r="D42" s="86">
        <f>30*AVERAGE('Incidence of conditions'!B5:F5)</f>
        <v>10.046400000000002</v>
      </c>
    </row>
    <row r="43" spans="1:5" ht="15.75" customHeight="1" x14ac:dyDescent="0.15">
      <c r="A43" s="3" t="s">
        <v>95</v>
      </c>
      <c r="B43" s="100">
        <v>0.61</v>
      </c>
      <c r="C43" s="100">
        <v>0.85</v>
      </c>
      <c r="D43" s="86">
        <f>179.97*AVERAGE('Incidence of conditions'!B6:F6)</f>
        <v>19.933477200000002</v>
      </c>
    </row>
    <row r="44" spans="1:5" ht="15.75" customHeight="1" x14ac:dyDescent="0.15">
      <c r="A44" s="3" t="s">
        <v>32</v>
      </c>
      <c r="B44" s="100">
        <v>0.621</v>
      </c>
      <c r="C44" s="100">
        <v>0.85</v>
      </c>
      <c r="D44" s="87">
        <v>0.35</v>
      </c>
    </row>
    <row r="45" spans="1:5" ht="15.75" customHeight="1" x14ac:dyDescent="0.15">
      <c r="A45" t="s">
        <v>136</v>
      </c>
      <c r="B45" s="101">
        <v>0.4</v>
      </c>
      <c r="C45" s="100">
        <v>0.85</v>
      </c>
      <c r="D45" s="87">
        <v>1</v>
      </c>
    </row>
    <row r="46" spans="1:5" ht="15.75" customHeight="1" x14ac:dyDescent="0.15">
      <c r="A46" t="s">
        <v>135</v>
      </c>
      <c r="B46" s="101">
        <v>0.38700000000000001</v>
      </c>
      <c r="C46" s="100">
        <v>0.85</v>
      </c>
      <c r="D46" s="87">
        <v>2.8</v>
      </c>
    </row>
    <row r="47" spans="1:5" ht="15.75" customHeight="1" x14ac:dyDescent="0.15">
      <c r="A47" t="s">
        <v>134</v>
      </c>
      <c r="B47" s="101">
        <v>0.69</v>
      </c>
      <c r="C47" s="100">
        <v>0.85</v>
      </c>
      <c r="D47" s="87">
        <v>50.26</v>
      </c>
    </row>
    <row r="48" spans="1:5" ht="15.75" customHeight="1" x14ac:dyDescent="0.15">
      <c r="A48" t="s">
        <v>132</v>
      </c>
      <c r="B48" s="101">
        <v>0.84</v>
      </c>
      <c r="C48" s="100">
        <v>0.85</v>
      </c>
      <c r="D48" s="87">
        <v>36.1</v>
      </c>
    </row>
    <row r="49" spans="1:4" ht="15.75" customHeight="1" x14ac:dyDescent="0.15">
      <c r="A49" t="s">
        <v>133</v>
      </c>
      <c r="B49" s="101">
        <v>0.14000000000000001</v>
      </c>
      <c r="C49" s="100">
        <v>0.85</v>
      </c>
      <c r="D49" s="87">
        <v>231.85</v>
      </c>
    </row>
    <row r="50" spans="1:4" ht="15.75" customHeight="1" x14ac:dyDescent="0.15">
      <c r="A50" t="s">
        <v>138</v>
      </c>
      <c r="B50" s="101">
        <v>0</v>
      </c>
      <c r="C50" s="100">
        <v>0.85</v>
      </c>
      <c r="D50" s="87">
        <v>1.5</v>
      </c>
    </row>
    <row r="51" spans="1:4" ht="15.75" customHeight="1" x14ac:dyDescent="0.15">
      <c r="A51" s="3" t="s">
        <v>85</v>
      </c>
      <c r="B51" s="100">
        <v>0</v>
      </c>
      <c r="C51" s="100">
        <v>0.85</v>
      </c>
      <c r="D51" s="87">
        <v>1</v>
      </c>
    </row>
    <row r="52" spans="1:4" s="5" customFormat="1" ht="15.75" customHeight="1" x14ac:dyDescent="0.15">
      <c r="A52" s="32" t="s">
        <v>100</v>
      </c>
      <c r="B52" s="100">
        <v>0</v>
      </c>
      <c r="C52" s="100">
        <v>0.95</v>
      </c>
      <c r="D52" s="85" t="s">
        <v>143</v>
      </c>
    </row>
    <row r="53" spans="1:4" ht="15.75" customHeight="1" x14ac:dyDescent="0.15">
      <c r="A53" s="33" t="s">
        <v>101</v>
      </c>
      <c r="B53" s="100">
        <v>0</v>
      </c>
      <c r="C53" s="100">
        <v>0.95</v>
      </c>
      <c r="D53" s="85" t="s">
        <v>143</v>
      </c>
    </row>
    <row r="54" spans="1:4" ht="15.75" customHeight="1" x14ac:dyDescent="0.15">
      <c r="A54" s="33" t="s">
        <v>102</v>
      </c>
      <c r="B54" s="100">
        <v>0</v>
      </c>
      <c r="C54" s="100">
        <v>0.95</v>
      </c>
      <c r="D54" s="85" t="s">
        <v>143</v>
      </c>
    </row>
  </sheetData>
  <sortState ref="A2:D52">
    <sortCondition ref="A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AF1-AC9D-D445-9C09-730772E263E4}">
  <sheetPr>
    <tabColor rgb="FFFFFF00"/>
  </sheetPr>
  <dimension ref="A1:E11"/>
  <sheetViews>
    <sheetView workbookViewId="0">
      <selection activeCell="D25" sqref="D25"/>
    </sheetView>
  </sheetViews>
  <sheetFormatPr baseColWidth="10" defaultColWidth="11.5" defaultRowHeight="13" x14ac:dyDescent="0.15"/>
  <cols>
    <col min="1" max="1" width="33.6640625" style="94" customWidth="1"/>
    <col min="2" max="2" width="12.5" style="94" customWidth="1"/>
    <col min="3" max="4" width="11.5" style="94"/>
    <col min="5" max="5" width="17.5" style="94" customWidth="1"/>
    <col min="6" max="16384" width="11.5" style="94"/>
  </cols>
  <sheetData>
    <row r="1" spans="1:5" x14ac:dyDescent="0.15">
      <c r="A1" s="99" t="s">
        <v>234</v>
      </c>
      <c r="B1" s="99" t="s">
        <v>233</v>
      </c>
      <c r="C1" s="99" t="s">
        <v>232</v>
      </c>
      <c r="D1" s="99" t="s">
        <v>231</v>
      </c>
      <c r="E1" s="99" t="s">
        <v>230</v>
      </c>
    </row>
    <row r="2" spans="1:5" ht="14" x14ac:dyDescent="0.15">
      <c r="A2" s="98" t="s">
        <v>229</v>
      </c>
      <c r="B2" s="97">
        <v>0.9</v>
      </c>
      <c r="C2" s="96">
        <v>0.09</v>
      </c>
      <c r="D2" s="94">
        <v>0.8</v>
      </c>
      <c r="E2" s="94">
        <f t="shared" ref="E2:E10" si="0">C2*D2</f>
        <v>7.1999999999999995E-2</v>
      </c>
    </row>
    <row r="3" spans="1:5" ht="14" x14ac:dyDescent="0.15">
      <c r="A3" s="98" t="s">
        <v>228</v>
      </c>
      <c r="B3" s="97">
        <v>1</v>
      </c>
      <c r="C3" s="96">
        <v>0.02</v>
      </c>
      <c r="D3" s="94">
        <v>1.9</v>
      </c>
      <c r="E3" s="94">
        <f t="shared" si="0"/>
        <v>3.7999999999999999E-2</v>
      </c>
    </row>
    <row r="4" spans="1:5" ht="14" x14ac:dyDescent="0.15">
      <c r="A4" s="98" t="s">
        <v>227</v>
      </c>
      <c r="B4" s="97">
        <v>1</v>
      </c>
      <c r="C4" s="96">
        <v>0.08</v>
      </c>
      <c r="D4" s="94">
        <v>2</v>
      </c>
      <c r="E4" s="94">
        <f t="shared" si="0"/>
        <v>0.16</v>
      </c>
    </row>
    <row r="5" spans="1:5" ht="14" x14ac:dyDescent="0.15">
      <c r="A5" s="98" t="s">
        <v>226</v>
      </c>
      <c r="B5" s="97">
        <v>1</v>
      </c>
      <c r="C5" s="96">
        <v>0.18</v>
      </c>
      <c r="D5" s="94">
        <v>0.7</v>
      </c>
      <c r="E5" s="94">
        <f t="shared" si="0"/>
        <v>0.126</v>
      </c>
    </row>
    <row r="6" spans="1:5" ht="14" x14ac:dyDescent="0.15">
      <c r="A6" s="98" t="s">
        <v>225</v>
      </c>
      <c r="B6" s="97">
        <v>1</v>
      </c>
      <c r="C6" s="96">
        <v>0.02</v>
      </c>
      <c r="D6" s="94">
        <v>0.7</v>
      </c>
      <c r="E6" s="94">
        <f t="shared" si="0"/>
        <v>1.3999999999999999E-2</v>
      </c>
    </row>
    <row r="7" spans="1:5" ht="14" x14ac:dyDescent="0.15">
      <c r="A7" s="98" t="s">
        <v>224</v>
      </c>
      <c r="B7" s="97">
        <v>0.93</v>
      </c>
      <c r="C7" s="96">
        <v>0.45</v>
      </c>
      <c r="D7" s="94">
        <v>0.9</v>
      </c>
      <c r="E7" s="94">
        <f t="shared" si="0"/>
        <v>0.40500000000000003</v>
      </c>
    </row>
    <row r="8" spans="1:5" ht="14" x14ac:dyDescent="0.15">
      <c r="A8" s="98" t="s">
        <v>223</v>
      </c>
      <c r="B8" s="97">
        <v>0.5</v>
      </c>
      <c r="C8" s="96">
        <v>0.03</v>
      </c>
      <c r="D8" s="94">
        <v>0</v>
      </c>
      <c r="E8" s="94">
        <f t="shared" si="0"/>
        <v>0</v>
      </c>
    </row>
    <row r="9" spans="1:5" ht="14" x14ac:dyDescent="0.15">
      <c r="A9" s="98" t="s">
        <v>222</v>
      </c>
      <c r="B9" s="97">
        <v>0.5</v>
      </c>
      <c r="C9" s="96">
        <v>0.11</v>
      </c>
      <c r="D9" s="94">
        <v>0</v>
      </c>
      <c r="E9" s="94">
        <f t="shared" si="0"/>
        <v>0</v>
      </c>
    </row>
    <row r="10" spans="1:5" ht="14" x14ac:dyDescent="0.15">
      <c r="A10" s="98" t="s">
        <v>221</v>
      </c>
      <c r="B10" s="97">
        <v>0.98</v>
      </c>
      <c r="C10" s="96">
        <v>0.01</v>
      </c>
      <c r="D10" s="94">
        <v>0.6</v>
      </c>
      <c r="E10" s="94">
        <f t="shared" si="0"/>
        <v>6.0000000000000001E-3</v>
      </c>
    </row>
    <row r="11" spans="1:5" x14ac:dyDescent="0.15">
      <c r="C11" s="9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Baseline year population inputs</vt:lpstr>
      <vt:lpstr>Causes of death</vt:lpstr>
      <vt:lpstr>Demographic projections</vt:lpstr>
      <vt:lpstr>Nutritional status distribution</vt:lpstr>
      <vt:lpstr>Breastfeeding distribution</vt:lpstr>
      <vt:lpstr>Time trends</vt:lpstr>
      <vt:lpstr>Fertility risks</vt:lpstr>
      <vt:lpstr>Programs birth age</vt:lpstr>
      <vt:lpstr>Incidence of conditions</vt:lpstr>
      <vt:lpstr>Wasting incidence</vt:lpstr>
      <vt:lpstr>IYCF packages</vt:lpstr>
      <vt:lpstr>IYCF target &amp; cost</vt:lpstr>
      <vt:lpstr>Programs target population</vt:lpstr>
      <vt:lpstr>Programs cost and coverage</vt:lpstr>
      <vt:lpstr>Programs family planning</vt:lpstr>
      <vt:lpstr>abortion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frac_MAMtoSAM</vt:lpstr>
      <vt:lpstr>frac_other_staples</vt:lpstr>
      <vt:lpstr>frac_PW_health_facility</vt:lpstr>
      <vt:lpstr>frac_rice</vt:lpstr>
      <vt:lpstr>frac_SAMtoMAM</vt:lpstr>
      <vt:lpstr>frac_subsistence_farming</vt:lpstr>
      <vt:lpstr>frac_wheat</vt:lpstr>
      <vt:lpstr>infant_mortality</vt:lpstr>
      <vt:lpstr>iron_deficiency_anaemia</vt:lpstr>
      <vt:lpstr>maternal_mortality</vt:lpstr>
      <vt:lpstr>neonatal_mortality</vt:lpstr>
      <vt:lpstr>preterm_AGA</vt:lpstr>
      <vt:lpstr>preterm_SGA</vt:lpstr>
      <vt:lpstr>school_attendance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2018-05-10T22:50:31Z</dcterms:modified>
</cp:coreProperties>
</file>