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1201CAE-C3CA-482E-ADDC-83AE2AB8EEE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8" i="2"/>
  <c r="A25" i="2"/>
  <c r="A24" i="2"/>
  <c r="A14" i="2"/>
  <c r="A13" i="2"/>
  <c r="H11" i="2"/>
  <c r="G11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G2" i="2"/>
  <c r="I2" i="2" s="1"/>
  <c r="A2" i="2"/>
  <c r="A36" i="2" s="1"/>
  <c r="C33" i="1"/>
  <c r="C20" i="1"/>
  <c r="A29" i="2" l="1"/>
  <c r="A16" i="2"/>
  <c r="A30" i="2"/>
  <c r="I10" i="2"/>
  <c r="A17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21" i="2"/>
  <c r="A32" i="2"/>
  <c r="I3" i="2"/>
  <c r="I7" i="2"/>
  <c r="I11" i="2"/>
  <c r="A22" i="2"/>
  <c r="A33" i="2"/>
  <c r="A23" i="2"/>
  <c r="A37" i="2"/>
  <c r="A40" i="2"/>
  <c r="A18" i="2"/>
  <c r="A26" i="2"/>
  <c r="A34" i="2"/>
  <c r="A39" i="2"/>
  <c r="A19" i="2"/>
  <c r="A27" i="2"/>
  <c r="A35" i="2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<sst xmlns="http://schemas.openxmlformats.org/spreadsheetml/2006/main" count="2092" uniqueCount="337">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</sst>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1980170.390625</v>
      </c>
    </row>
    <row r="8" spans="1:3" ht="15" customHeight="1" x14ac:dyDescent="0.25">
      <c r="B8" s="7" t="s">
        <v>19</v>
      </c>
      <c r="C8" s="46">
        <v>0.7</v>
      </c>
    </row>
    <row r="9" spans="1:3" ht="15" customHeight="1" x14ac:dyDescent="0.25">
      <c r="B9" s="7" t="s">
        <v>20</v>
      </c>
      <c r="C9" s="47">
        <v>0.54</v>
      </c>
    </row>
    <row r="10" spans="1:3" ht="15" customHeight="1" x14ac:dyDescent="0.25">
      <c r="B10" s="7" t="s">
        <v>21</v>
      </c>
      <c r="C10" s="47">
        <v>0.44076328277587901</v>
      </c>
    </row>
    <row r="11" spans="1:3" ht="15" customHeight="1" x14ac:dyDescent="0.25">
      <c r="B11" s="7" t="s">
        <v>22</v>
      </c>
      <c r="C11" s="46">
        <v>0.75700000000000001</v>
      </c>
    </row>
    <row r="12" spans="1:3" ht="15" customHeight="1" x14ac:dyDescent="0.25">
      <c r="B12" s="7" t="s">
        <v>23</v>
      </c>
      <c r="C12" s="46">
        <v>0.498</v>
      </c>
    </row>
    <row r="13" spans="1:3" ht="15" customHeight="1" x14ac:dyDescent="0.25">
      <c r="B13" s="7" t="s">
        <v>24</v>
      </c>
      <c r="C13" s="46">
        <v>0.14799999999999999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0.14299999999999999</v>
      </c>
    </row>
    <row r="24" spans="1:3" ht="15" customHeight="1" x14ac:dyDescent="0.25">
      <c r="B24" s="12" t="s">
        <v>33</v>
      </c>
      <c r="C24" s="47">
        <v>0.49020000000000002</v>
      </c>
    </row>
    <row r="25" spans="1:3" ht="15" customHeight="1" x14ac:dyDescent="0.25">
      <c r="B25" s="12" t="s">
        <v>34</v>
      </c>
      <c r="C25" s="47">
        <v>0.31659999999999999</v>
      </c>
    </row>
    <row r="26" spans="1:3" ht="15" customHeight="1" x14ac:dyDescent="0.25">
      <c r="B26" s="12" t="s">
        <v>35</v>
      </c>
      <c r="C26" s="47">
        <v>5.0199999999999988E-2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0.32400000000000001</v>
      </c>
    </row>
    <row r="30" spans="1:3" ht="14.25" customHeight="1" x14ac:dyDescent="0.25">
      <c r="B30" s="22" t="s">
        <v>38</v>
      </c>
      <c r="C30" s="49">
        <v>2.5000000000000001E-2</v>
      </c>
    </row>
    <row r="31" spans="1:3" ht="14.25" customHeight="1" x14ac:dyDescent="0.25">
      <c r="B31" s="22" t="s">
        <v>39</v>
      </c>
      <c r="C31" s="49">
        <v>4.4999999999999998E-2</v>
      </c>
    </row>
    <row r="32" spans="1:3" ht="14.25" customHeight="1" x14ac:dyDescent="0.25">
      <c r="B32" s="22" t="s">
        <v>40</v>
      </c>
      <c r="C32" s="49">
        <v>0.60599999999999998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25.864264873084501</v>
      </c>
    </row>
    <row r="38" spans="1:5" ht="15" customHeight="1" x14ac:dyDescent="0.25">
      <c r="B38" s="28" t="s">
        <v>45</v>
      </c>
      <c r="C38" s="117">
        <v>38.423775587698401</v>
      </c>
      <c r="D38" s="9"/>
      <c r="E38" s="10"/>
    </row>
    <row r="39" spans="1:5" ht="15" customHeight="1" x14ac:dyDescent="0.25">
      <c r="B39" s="28" t="s">
        <v>46</v>
      </c>
      <c r="C39" s="117">
        <v>54.612967442693602</v>
      </c>
      <c r="D39" s="9"/>
      <c r="E39" s="9"/>
    </row>
    <row r="40" spans="1:5" ht="15" customHeight="1" x14ac:dyDescent="0.25">
      <c r="B40" s="28" t="s">
        <v>47</v>
      </c>
      <c r="C40" s="117">
        <v>458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16.046522209999999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2.6584400000000001E-2</v>
      </c>
      <c r="D45" s="9"/>
    </row>
    <row r="46" spans="1:5" ht="15.75" customHeight="1" x14ac:dyDescent="0.25">
      <c r="B46" s="28" t="s">
        <v>52</v>
      </c>
      <c r="C46" s="47">
        <v>0.13893900000000001</v>
      </c>
      <c r="D46" s="9"/>
    </row>
    <row r="47" spans="1:5" ht="15.75" customHeight="1" x14ac:dyDescent="0.25">
      <c r="B47" s="28" t="s">
        <v>53</v>
      </c>
      <c r="C47" s="47">
        <v>0.19298950000000001</v>
      </c>
      <c r="D47" s="9"/>
      <c r="E47" s="10"/>
    </row>
    <row r="48" spans="1:5" ht="15" customHeight="1" x14ac:dyDescent="0.25">
      <c r="B48" s="28" t="s">
        <v>54</v>
      </c>
      <c r="C48" s="48">
        <v>0.64148709999999998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0.42641971098609671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12.628009</v>
      </c>
    </row>
    <row r="63" spans="1:4" ht="15.75" customHeight="1" x14ac:dyDescent="0.25">
      <c r="A63" s="39"/>
    </row>
  </sheetData>
  <sheetProtection algorithmName="SHA-512" hashValue="IEnk9MVNnku/NI88QDRNwmw4ZFdGvfLx0lyATTuZrVFwrwMMRO1Xrivtl8PW4LeD6pZg0J1GXdCvqJVzh3XZ4g==" saltValue="x+LFXiBv/ZJDFQ+n6g7l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0.28682710081356799</v>
      </c>
      <c r="C2" s="115">
        <v>0.95</v>
      </c>
      <c r="D2" s="116">
        <v>38.160776266150833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47.437843551227417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102.9076648678451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0.45690560806451591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15.09709288172251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15.09709288172251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15.09709288172251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15.09709288172251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15.09709288172251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15.09709288172251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0.2755978</v>
      </c>
      <c r="C16" s="115">
        <v>0.95</v>
      </c>
      <c r="D16" s="116">
        <v>0.29966946653826387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8.6839288888888894E-2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0.167184</v>
      </c>
      <c r="C18" s="115">
        <v>0.95</v>
      </c>
      <c r="D18" s="116">
        <v>2.4661440905760248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0.167184</v>
      </c>
      <c r="C19" s="115">
        <v>0.95</v>
      </c>
      <c r="D19" s="116">
        <v>2.4661440905760248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0.85498660000000004</v>
      </c>
      <c r="C21" s="115">
        <v>0.95</v>
      </c>
      <c r="D21" s="116">
        <v>3.3085818740876318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25.756145724245069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4.9613185520035712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0.45863823887284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0.396723061800003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21.789130572923639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0.22490360000000001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8.900000000000001E-2</v>
      </c>
      <c r="C29" s="115">
        <v>0.95</v>
      </c>
      <c r="D29" s="116">
        <v>68.300854175426551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0.8470232226654113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0.58527783165992031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0.64379720000000007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0.39527390000000001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0.309959402329336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0.36791261173295298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5.2830002631247943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0.36221397559649399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Flu/9xW3IShZUyf4qehAj5zUM79LKONE+RU29Vu6JcKTKaRPKGO2U76NZBEy3NSI3maUdmNXRYWWMQMzLWEfQ==" saltValue="kaBJgVF0/6gTEy9hZw9d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ttGBw30R/jAPcfLuQoOUfEy5o+2GCS2hg6a98HZN2wXvA8cKCWhwfUhg2oIaudFBLcVEMp754GO4kZoTTuA9Pg==" saltValue="gANzTZig90gKLJbsEF+r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bmJuGsRYfXv/q7/28zX+naBRjTmR+G7avLU6OHey55Yoap2d098fMf6mrdv5x1J4AaJFB5XT/IDUBp4jQ7xzcQ==" saltValue="hKMN4Q3Wh4zalW/t24Ic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6.8118291800000008E-2</v>
      </c>
      <c r="C3" s="18">
        <f>frac_mam_1_5months * 2.6</f>
        <v>6.8118291800000008E-2</v>
      </c>
      <c r="D3" s="18">
        <f>frac_mam_6_11months * 2.6</f>
        <v>9.5229664399999997E-2</v>
      </c>
      <c r="E3" s="18">
        <f>frac_mam_12_23months * 2.6</f>
        <v>0.1015080872</v>
      </c>
      <c r="F3" s="18">
        <f>frac_mam_24_59months * 2.6</f>
        <v>5.0238804200000001E-2</v>
      </c>
    </row>
    <row r="4" spans="1:6" ht="15.75" customHeight="1" x14ac:dyDescent="0.25">
      <c r="A4" s="4" t="s">
        <v>208</v>
      </c>
      <c r="B4" s="18">
        <f>frac_sam_1month * 2.6</f>
        <v>2.2207817840000001E-2</v>
      </c>
      <c r="C4" s="18">
        <f>frac_sam_1_5months * 2.6</f>
        <v>2.2207817840000001E-2</v>
      </c>
      <c r="D4" s="18">
        <f>frac_sam_6_11months * 2.6</f>
        <v>1.136269914E-2</v>
      </c>
      <c r="E4" s="18">
        <f>frac_sam_12_23months * 2.6</f>
        <v>1.2650812200000002E-2</v>
      </c>
      <c r="F4" s="18">
        <f>frac_sam_24_59months * 2.6</f>
        <v>4.5790568199999999E-3</v>
      </c>
    </row>
  </sheetData>
  <sheetProtection algorithmName="SHA-512" hashValue="5T1Y352h2a1HaG2ympi4wj7Unv7nspgl0FZvptDN2EjT+eW+dnH14ilrY5i9o6TJACi+Opee0jQGR2TCMgvweQ==" saltValue="RYb4Bm9cpLZx+CWaj3Vi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0.7</v>
      </c>
      <c r="E2" s="65">
        <f>food_insecure</f>
        <v>0.7</v>
      </c>
      <c r="F2" s="65">
        <f>food_insecure</f>
        <v>0.7</v>
      </c>
      <c r="G2" s="65">
        <f>food_insecure</f>
        <v>0.7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0.7</v>
      </c>
      <c r="F5" s="65">
        <f>food_insecure</f>
        <v>0.7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0.7</v>
      </c>
      <c r="F8" s="65">
        <f>food_insecure</f>
        <v>0.7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0.7</v>
      </c>
      <c r="F9" s="65">
        <f>food_insecure</f>
        <v>0.7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0.498</v>
      </c>
      <c r="E10" s="65">
        <f>IF(ISBLANK(comm_deliv), frac_children_health_facility,1)</f>
        <v>0.498</v>
      </c>
      <c r="F10" s="65">
        <f>IF(ISBLANK(comm_deliv), frac_children_health_facility,1)</f>
        <v>0.498</v>
      </c>
      <c r="G10" s="65">
        <f>IF(ISBLANK(comm_deliv), frac_children_health_facility,1)</f>
        <v>0.498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</v>
      </c>
      <c r="I15" s="65">
        <f>food_insecure</f>
        <v>0.7</v>
      </c>
      <c r="J15" s="65">
        <f>food_insecure</f>
        <v>0.7</v>
      </c>
      <c r="K15" s="65">
        <f>food_insecure</f>
        <v>0.7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0.75700000000000001</v>
      </c>
      <c r="I18" s="65">
        <f>frac_PW_health_facility</f>
        <v>0.75700000000000001</v>
      </c>
      <c r="J18" s="65">
        <f>frac_PW_health_facility</f>
        <v>0.75700000000000001</v>
      </c>
      <c r="K18" s="65">
        <f>frac_PW_health_facility</f>
        <v>0.75700000000000001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0.54</v>
      </c>
      <c r="I19" s="65">
        <f>frac_malaria_risk</f>
        <v>0.54</v>
      </c>
      <c r="J19" s="65">
        <f>frac_malaria_risk</f>
        <v>0.54</v>
      </c>
      <c r="K19" s="65">
        <f>frac_malaria_risk</f>
        <v>0.54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0.14799999999999999</v>
      </c>
      <c r="M24" s="65">
        <f>famplan_unmet_need</f>
        <v>0.14799999999999999</v>
      </c>
      <c r="N24" s="65">
        <f>famplan_unmet_need</f>
        <v>0.14799999999999999</v>
      </c>
      <c r="O24" s="65">
        <f>famplan_unmet_need</f>
        <v>0.14799999999999999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0.35623378887176504</v>
      </c>
      <c r="M25" s="65">
        <f>(1-food_insecure)*(0.49)+food_insecure*(0.7)</f>
        <v>0.63700000000000001</v>
      </c>
      <c r="N25" s="65">
        <f>(1-food_insecure)*(0.49)+food_insecure*(0.7)</f>
        <v>0.63700000000000001</v>
      </c>
      <c r="O25" s="65">
        <f>(1-food_insecure)*(0.49)+food_insecure*(0.7)</f>
        <v>0.63700000000000001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0.15267162380218505</v>
      </c>
      <c r="M26" s="65">
        <f>(1-food_insecure)*(0.21)+food_insecure*(0.3)</f>
        <v>0.27300000000000002</v>
      </c>
      <c r="N26" s="65">
        <f>(1-food_insecure)*(0.21)+food_insecure*(0.3)</f>
        <v>0.27300000000000002</v>
      </c>
      <c r="O26" s="65">
        <f>(1-food_insecure)*(0.21)+food_insecure*(0.3)</f>
        <v>0.27300000000000002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5.0331304550170902E-2</v>
      </c>
      <c r="M27" s="65">
        <f>(1-food_insecure)*(0.3)</f>
        <v>9.0000000000000011E-2</v>
      </c>
      <c r="N27" s="65">
        <f>(1-food_insecure)*(0.3)</f>
        <v>9.0000000000000011E-2</v>
      </c>
      <c r="O27" s="65">
        <f>(1-food_insecure)*(0.3)</f>
        <v>9.0000000000000011E-2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0.44076328277587895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0.54</v>
      </c>
      <c r="D34" s="65">
        <f t="shared" si="3"/>
        <v>0.54</v>
      </c>
      <c r="E34" s="65">
        <f t="shared" si="3"/>
        <v>0.54</v>
      </c>
      <c r="F34" s="65">
        <f t="shared" si="3"/>
        <v>0.54</v>
      </c>
      <c r="G34" s="65">
        <f t="shared" si="3"/>
        <v>0.54</v>
      </c>
      <c r="H34" s="65">
        <f t="shared" si="3"/>
        <v>0.54</v>
      </c>
      <c r="I34" s="65">
        <f t="shared" si="3"/>
        <v>0.54</v>
      </c>
      <c r="J34" s="65">
        <f t="shared" si="3"/>
        <v>0.54</v>
      </c>
      <c r="K34" s="65">
        <f t="shared" si="3"/>
        <v>0.54</v>
      </c>
      <c r="L34" s="65">
        <f t="shared" si="3"/>
        <v>0.54</v>
      </c>
      <c r="M34" s="65">
        <f t="shared" si="3"/>
        <v>0.54</v>
      </c>
      <c r="N34" s="65">
        <f t="shared" si="3"/>
        <v>0.54</v>
      </c>
      <c r="O34" s="65">
        <f t="shared" si="3"/>
        <v>0.54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D3VDRT1q7lw2Iw8CgFSSVR3dzqb2rxdI2nMXFFKcEPKCl8Lq3mHNWT/vWhR09JtM3OsIIp9sxZ1Cv3e1Eh8e1A==" saltValue="kuB0fLfeOiw0vrtzKXG0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tT+JcxUf2nrOGvKw9+U587LPKczCLC4m8tw+ik7usca5yTFEABsZz43bNi15favQTr5x9TxQ5UEfUgbkYyIKpA==" saltValue="AYk5bjHyk9Y04g3eTvR+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ygNGImqUWUH+d8VIEUt2O/IyWyurtVcAuGFRQDpm2TasiQLQdiBvE92Mkp0Xdhkh1IbTiv97Q1UmxER4Tum2w==" saltValue="psi82W2Z7O9kQaBAFqUe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6ScVoAXR1jL6rDqScJn6Vy8G+sqP0HbzsYexsLUxUmE9FIb65aw5rxeFeG9HW8dI+Bt6srJ2kv1xgy2XOpgng==" saltValue="vp/B1zNNpQwg8uyWNAYFW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HPtfKnRYI+KNnO7/rfQTd0Wwcu3FjWz6xCLa7+J1zf6tsjRtz/kz1jFMAYx2RLPGgY6EXKDrDE9pNhFsmUGNQ==" saltValue="xHHDGUW+pTltHruheq+J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5YIunFOKoHUzk0gYDEiyv4/pBcwJYv3MbqlW6YgHM8A1KFuGh2YGuh8IY31HedBjjPiET1JC3zBhgZbJe5OGJA==" saltValue="ofKU2osOiPdcYTj5iegj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532986.72</v>
      </c>
      <c r="C2" s="53">
        <v>945000</v>
      </c>
      <c r="D2" s="53">
        <v>1627000</v>
      </c>
      <c r="E2" s="53">
        <v>1368000</v>
      </c>
      <c r="F2" s="53">
        <v>831000</v>
      </c>
      <c r="G2" s="14">
        <f t="shared" ref="G2:G11" si="0">C2+D2+E2+F2</f>
        <v>4771000</v>
      </c>
      <c r="H2" s="14">
        <f t="shared" ref="H2:H11" si="1">(B2 + stillbirth*B2/(1000-stillbirth))/(1-abortion)</f>
        <v>567797.46392381121</v>
      </c>
      <c r="I2" s="14">
        <f t="shared" ref="I2:I11" si="2">G2-H2</f>
        <v>4203202.536076189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534285.82299999997</v>
      </c>
      <c r="C3" s="53">
        <v>972000</v>
      </c>
      <c r="D3" s="53">
        <v>1645000</v>
      </c>
      <c r="E3" s="53">
        <v>1391000</v>
      </c>
      <c r="F3" s="53">
        <v>884000</v>
      </c>
      <c r="G3" s="14">
        <f t="shared" si="0"/>
        <v>4892000</v>
      </c>
      <c r="H3" s="14">
        <f t="shared" si="1"/>
        <v>569181.41470738011</v>
      </c>
      <c r="I3" s="14">
        <f t="shared" si="2"/>
        <v>4322818.5852926197</v>
      </c>
    </row>
    <row r="4" spans="1:9" ht="15.75" customHeight="1" x14ac:dyDescent="0.25">
      <c r="A4" s="7">
        <f t="shared" si="3"/>
        <v>2023</v>
      </c>
      <c r="B4" s="52">
        <v>535154.598</v>
      </c>
      <c r="C4" s="53">
        <v>1001000</v>
      </c>
      <c r="D4" s="53">
        <v>1664000</v>
      </c>
      <c r="E4" s="53">
        <v>1410000</v>
      </c>
      <c r="F4" s="53">
        <v>937000</v>
      </c>
      <c r="G4" s="14">
        <f t="shared" si="0"/>
        <v>5012000</v>
      </c>
      <c r="H4" s="14">
        <f t="shared" si="1"/>
        <v>570106.93165406957</v>
      </c>
      <c r="I4" s="14">
        <f t="shared" si="2"/>
        <v>4441893.0683459304</v>
      </c>
    </row>
    <row r="5" spans="1:9" ht="15.75" customHeight="1" x14ac:dyDescent="0.25">
      <c r="A5" s="7">
        <f t="shared" si="3"/>
        <v>2024</v>
      </c>
      <c r="B5" s="52">
        <v>535650.47</v>
      </c>
      <c r="C5" s="53">
        <v>1032000</v>
      </c>
      <c r="D5" s="53">
        <v>1689000</v>
      </c>
      <c r="E5" s="53">
        <v>1427000</v>
      </c>
      <c r="F5" s="53">
        <v>988000</v>
      </c>
      <c r="G5" s="14">
        <f t="shared" si="0"/>
        <v>5136000</v>
      </c>
      <c r="H5" s="14">
        <f t="shared" si="1"/>
        <v>570635.190339447</v>
      </c>
      <c r="I5" s="14">
        <f t="shared" si="2"/>
        <v>4565364.809660553</v>
      </c>
    </row>
    <row r="6" spans="1:9" ht="15.75" customHeight="1" x14ac:dyDescent="0.25">
      <c r="A6" s="7">
        <f t="shared" si="3"/>
        <v>2025</v>
      </c>
      <c r="B6" s="52">
        <v>535853.98</v>
      </c>
      <c r="C6" s="53">
        <v>1065000</v>
      </c>
      <c r="D6" s="53">
        <v>1719000</v>
      </c>
      <c r="E6" s="53">
        <v>1445000</v>
      </c>
      <c r="F6" s="53">
        <v>1036000</v>
      </c>
      <c r="G6" s="14">
        <f t="shared" si="0"/>
        <v>5265000</v>
      </c>
      <c r="H6" s="14">
        <f t="shared" si="1"/>
        <v>570851.99210494524</v>
      </c>
      <c r="I6" s="14">
        <f t="shared" si="2"/>
        <v>4694148.0078950543</v>
      </c>
    </row>
    <row r="7" spans="1:9" ht="15.75" customHeight="1" x14ac:dyDescent="0.25">
      <c r="A7" s="7">
        <f t="shared" si="3"/>
        <v>2026</v>
      </c>
      <c r="B7" s="52">
        <v>539414.6712000001</v>
      </c>
      <c r="C7" s="53">
        <v>1097000</v>
      </c>
      <c r="D7" s="53">
        <v>1753000</v>
      </c>
      <c r="E7" s="53">
        <v>1460000</v>
      </c>
      <c r="F7" s="53">
        <v>1082000</v>
      </c>
      <c r="G7" s="14">
        <f t="shared" si="0"/>
        <v>5392000</v>
      </c>
      <c r="H7" s="14">
        <f t="shared" si="1"/>
        <v>574645.2412747856</v>
      </c>
      <c r="I7" s="14">
        <f t="shared" si="2"/>
        <v>4817354.7587252147</v>
      </c>
    </row>
    <row r="8" spans="1:9" ht="15.75" customHeight="1" x14ac:dyDescent="0.25">
      <c r="A8" s="7">
        <f t="shared" si="3"/>
        <v>2027</v>
      </c>
      <c r="B8" s="52">
        <v>542786.05760000006</v>
      </c>
      <c r="C8" s="53">
        <v>1131000</v>
      </c>
      <c r="D8" s="53">
        <v>1793000</v>
      </c>
      <c r="E8" s="53">
        <v>1476000</v>
      </c>
      <c r="F8" s="53">
        <v>1125000</v>
      </c>
      <c r="G8" s="14">
        <f t="shared" si="0"/>
        <v>5525000</v>
      </c>
      <c r="H8" s="14">
        <f t="shared" si="1"/>
        <v>578236.82165755227</v>
      </c>
      <c r="I8" s="14">
        <f t="shared" si="2"/>
        <v>4946763.1783424476</v>
      </c>
    </row>
    <row r="9" spans="1:9" ht="15.75" customHeight="1" x14ac:dyDescent="0.25">
      <c r="A9" s="7">
        <f t="shared" si="3"/>
        <v>2028</v>
      </c>
      <c r="B9" s="52">
        <v>545964.99100000015</v>
      </c>
      <c r="C9" s="53">
        <v>1164000</v>
      </c>
      <c r="D9" s="53">
        <v>1837000</v>
      </c>
      <c r="E9" s="53">
        <v>1491000</v>
      </c>
      <c r="F9" s="53">
        <v>1165000</v>
      </c>
      <c r="G9" s="14">
        <f t="shared" si="0"/>
        <v>5657000</v>
      </c>
      <c r="H9" s="14">
        <f t="shared" si="1"/>
        <v>581623.3794361453</v>
      </c>
      <c r="I9" s="14">
        <f t="shared" si="2"/>
        <v>5075376.6205638545</v>
      </c>
    </row>
    <row r="10" spans="1:9" ht="15.75" customHeight="1" x14ac:dyDescent="0.25">
      <c r="A10" s="7">
        <f t="shared" si="3"/>
        <v>2029</v>
      </c>
      <c r="B10" s="52">
        <v>548948.32320000022</v>
      </c>
      <c r="C10" s="53">
        <v>1192000</v>
      </c>
      <c r="D10" s="53">
        <v>1888000</v>
      </c>
      <c r="E10" s="53">
        <v>1509000</v>
      </c>
      <c r="F10" s="53">
        <v>1200000</v>
      </c>
      <c r="G10" s="14">
        <f t="shared" si="0"/>
        <v>5789000</v>
      </c>
      <c r="H10" s="14">
        <f t="shared" si="1"/>
        <v>584801.56079346372</v>
      </c>
      <c r="I10" s="14">
        <f t="shared" si="2"/>
        <v>5204198.4392065359</v>
      </c>
    </row>
    <row r="11" spans="1:9" ht="15.75" customHeight="1" x14ac:dyDescent="0.25">
      <c r="A11" s="7">
        <f t="shared" si="3"/>
        <v>2030</v>
      </c>
      <c r="B11" s="52">
        <v>551758.53700000001</v>
      </c>
      <c r="C11" s="53">
        <v>1213000</v>
      </c>
      <c r="D11" s="53">
        <v>1943000</v>
      </c>
      <c r="E11" s="53">
        <v>1527000</v>
      </c>
      <c r="F11" s="53">
        <v>1233000</v>
      </c>
      <c r="G11" s="14">
        <f t="shared" si="0"/>
        <v>5916000</v>
      </c>
      <c r="H11" s="14">
        <f t="shared" si="1"/>
        <v>587795.31693943962</v>
      </c>
      <c r="I11" s="14">
        <f t="shared" si="2"/>
        <v>5328204.6830605604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cL6ezeIDOEheXJjUSkXo9AFflvtTM/uCq+8CEvxRXnx8mCq151DfcAGlY4l99BOow3ysiMopBUfV7SHx+PYCQ==" saltValue="qavn4yYn2OUnlonHimIEP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KA+L9G240DwgwfTtPvXa/6S4t9C2ar+fonJ/j0No3q+yGmOaEtxYvMM3PPN7FszroCfI9Gp9tJWhhG8ImfDCwA==" saltValue="fAsQhUChAtC6QbuetAG+r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EV7xjdo2suBoz6uIzhAYdV/Fr8PN2DttiBpROZy4HopQ8t/rLU6ZOmFfayB5Qg6dSOBwUhVpyJJ6H0fZLTxzA==" saltValue="UXrEc15K1l9ZiIOvT9GW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PacNFVexB5Nx+4jKjuIBT3+9MWdjau55TUXUEDCbJpJr9Bn3m7yLD9gV6JmPyPCUC396bCL4DiiATIrsbs/Pw==" saltValue="y8/H5zcyDErP89QPsbY+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fOGvVQ4PZPze/AsEzB4CRXplZuHRNFd+kkRxsYlNtjUf5q5i0/UVOtTpXIeI0PPwfOQ1cxebs1lHP42PzDM0w==" saltValue="4e6hl+1YVCPMMEKNZBuP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Jp8URlwAOMxoqlsHudE1VR3qo1EWZW2VhzotE99xj80qfCI4nsiw9RhyV2eN5JW68E2OYKTVdUXnMg71oDQbZg==" saltValue="pYgPWnaaN5aoHXFsZxa3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HqNyl5st1yZXGEEHUNwhl78PnktY0pnTlFHrItiVnorqdUAlTyKRWF+6Rij+rqT0fyM9TQ/KjyA8JxmC9QudA==" saltValue="yGW3O5x/k+Eqzr/sL6mM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nYiWfoO2mRQ7QtLnQYawh3pBhkoVNBSmIq6GpSJYbcafqSl6uiTIanHL+Wgza6h1J1Ayf6yXQm8vrNxymy3ug==" saltValue="0zO4zdMlu7LqOKfBfYiE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hHL9PNm/jPZvevvl+vXZgCKVK1DYqMVfUf5McHi6T67wiVlms+am5ZBuDXq24HtO7KZOMYd12ZwscyKjZIAJA==" saltValue="+BstLcjLaJFr38yw6CTW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KWctUhPWm9A2ArENPslUoViVMuK+FIuU/lv55m+kavOA8jGPpOtq1dkXPfMiPV1JFrZevf9DVeU6XkR/lj3Kg==" saltValue="jUF048C4+TBRyvauiGzm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4.4320097401913663E-3</v>
      </c>
    </row>
    <row r="4" spans="1:8" ht="15.75" customHeight="1" x14ac:dyDescent="0.25">
      <c r="B4" s="16" t="s">
        <v>79</v>
      </c>
      <c r="C4" s="54">
        <v>0.13872304803457741</v>
      </c>
    </row>
    <row r="5" spans="1:8" ht="15.75" customHeight="1" x14ac:dyDescent="0.25">
      <c r="B5" s="16" t="s">
        <v>80</v>
      </c>
      <c r="C5" s="54">
        <v>6.690203499494643E-2</v>
      </c>
    </row>
    <row r="6" spans="1:8" ht="15.75" customHeight="1" x14ac:dyDescent="0.25">
      <c r="B6" s="16" t="s">
        <v>81</v>
      </c>
      <c r="C6" s="54">
        <v>0.27582210643047639</v>
      </c>
    </row>
    <row r="7" spans="1:8" ht="15.75" customHeight="1" x14ac:dyDescent="0.25">
      <c r="B7" s="16" t="s">
        <v>82</v>
      </c>
      <c r="C7" s="54">
        <v>0.33245922052259269</v>
      </c>
    </row>
    <row r="8" spans="1:8" ht="15.75" customHeight="1" x14ac:dyDescent="0.25">
      <c r="B8" s="16" t="s">
        <v>83</v>
      </c>
      <c r="C8" s="54">
        <v>7.6589048996933929E-3</v>
      </c>
    </row>
    <row r="9" spans="1:8" ht="15.75" customHeight="1" x14ac:dyDescent="0.25">
      <c r="B9" s="16" t="s">
        <v>84</v>
      </c>
      <c r="C9" s="54">
        <v>0.11187272124694771</v>
      </c>
    </row>
    <row r="10" spans="1:8" ht="15.75" customHeight="1" x14ac:dyDescent="0.25">
      <c r="B10" s="16" t="s">
        <v>85</v>
      </c>
      <c r="C10" s="54">
        <v>6.2129954130574747E-2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0.1109211220603194</v>
      </c>
      <c r="D14" s="54">
        <v>0.1109211220603194</v>
      </c>
      <c r="E14" s="54">
        <v>0.1109211220603194</v>
      </c>
      <c r="F14" s="54">
        <v>0.1109211220603194</v>
      </c>
    </row>
    <row r="15" spans="1:8" ht="15.75" customHeight="1" x14ac:dyDescent="0.25">
      <c r="B15" s="16" t="s">
        <v>88</v>
      </c>
      <c r="C15" s="54">
        <v>0.17070695042004569</v>
      </c>
      <c r="D15" s="54">
        <v>0.17070695042004569</v>
      </c>
      <c r="E15" s="54">
        <v>0.17070695042004569</v>
      </c>
      <c r="F15" s="54">
        <v>0.17070695042004569</v>
      </c>
    </row>
    <row r="16" spans="1:8" ht="15.75" customHeight="1" x14ac:dyDescent="0.25">
      <c r="B16" s="16" t="s">
        <v>89</v>
      </c>
      <c r="C16" s="54">
        <v>1.9428714783453541E-2</v>
      </c>
      <c r="D16" s="54">
        <v>1.9428714783453541E-2</v>
      </c>
      <c r="E16" s="54">
        <v>1.9428714783453541E-2</v>
      </c>
      <c r="F16" s="54">
        <v>1.9428714783453541E-2</v>
      </c>
    </row>
    <row r="17" spans="1:8" ht="15.75" customHeight="1" x14ac:dyDescent="0.25">
      <c r="B17" s="16" t="s">
        <v>90</v>
      </c>
      <c r="C17" s="54">
        <v>6.4717040322643518E-4</v>
      </c>
      <c r="D17" s="54">
        <v>6.4717040322643518E-4</v>
      </c>
      <c r="E17" s="54">
        <v>6.4717040322643518E-4</v>
      </c>
      <c r="F17" s="54">
        <v>6.4717040322643518E-4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2.8606397094022738E-3</v>
      </c>
      <c r="D19" s="54">
        <v>2.8606397094022738E-3</v>
      </c>
      <c r="E19" s="54">
        <v>2.8606397094022738E-3</v>
      </c>
      <c r="F19" s="54">
        <v>2.8606397094022738E-3</v>
      </c>
    </row>
    <row r="20" spans="1:8" ht="15.75" customHeight="1" x14ac:dyDescent="0.25">
      <c r="B20" s="16" t="s">
        <v>93</v>
      </c>
      <c r="C20" s="54">
        <v>0.25545548376855648</v>
      </c>
      <c r="D20" s="54">
        <v>0.25545548376855648</v>
      </c>
      <c r="E20" s="54">
        <v>0.25545548376855648</v>
      </c>
      <c r="F20" s="54">
        <v>0.25545548376855648</v>
      </c>
    </row>
    <row r="21" spans="1:8" ht="15.75" customHeight="1" x14ac:dyDescent="0.25">
      <c r="B21" s="16" t="s">
        <v>94</v>
      </c>
      <c r="C21" s="54">
        <v>0.10187474331265201</v>
      </c>
      <c r="D21" s="54">
        <v>0.10187474331265201</v>
      </c>
      <c r="E21" s="54">
        <v>0.10187474331265201</v>
      </c>
      <c r="F21" s="54">
        <v>0.10187474331265201</v>
      </c>
    </row>
    <row r="22" spans="1:8" ht="15.75" customHeight="1" x14ac:dyDescent="0.25">
      <c r="B22" s="16" t="s">
        <v>95</v>
      </c>
      <c r="C22" s="54">
        <v>0.33810517554234421</v>
      </c>
      <c r="D22" s="54">
        <v>0.33810517554234421</v>
      </c>
      <c r="E22" s="54">
        <v>0.33810517554234421</v>
      </c>
      <c r="F22" s="54">
        <v>0.33810517554234421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3.5999999999999997E-2</v>
      </c>
    </row>
    <row r="27" spans="1:8" ht="15.75" customHeight="1" x14ac:dyDescent="0.25">
      <c r="B27" s="16" t="s">
        <v>102</v>
      </c>
      <c r="C27" s="54">
        <v>5.3E-3</v>
      </c>
    </row>
    <row r="28" spans="1:8" ht="15.75" customHeight="1" x14ac:dyDescent="0.25">
      <c r="B28" s="16" t="s">
        <v>103</v>
      </c>
      <c r="C28" s="54">
        <v>0.1502</v>
      </c>
    </row>
    <row r="29" spans="1:8" ht="15.75" customHeight="1" x14ac:dyDescent="0.25">
      <c r="B29" s="16" t="s">
        <v>104</v>
      </c>
      <c r="C29" s="54">
        <v>0.1235</v>
      </c>
    </row>
    <row r="30" spans="1:8" ht="15.75" customHeight="1" x14ac:dyDescent="0.25">
      <c r="B30" s="16" t="s">
        <v>2</v>
      </c>
      <c r="C30" s="54">
        <v>8.8000000000000009E-2</v>
      </c>
    </row>
    <row r="31" spans="1:8" ht="15.75" customHeight="1" x14ac:dyDescent="0.25">
      <c r="B31" s="16" t="s">
        <v>105</v>
      </c>
      <c r="C31" s="54">
        <v>8.5800000000000001E-2</v>
      </c>
    </row>
    <row r="32" spans="1:8" ht="15.75" customHeight="1" x14ac:dyDescent="0.25">
      <c r="B32" s="16" t="s">
        <v>106</v>
      </c>
      <c r="C32" s="54">
        <v>9.7999999999999997E-3</v>
      </c>
    </row>
    <row r="33" spans="2:3" ht="15.75" customHeight="1" x14ac:dyDescent="0.25">
      <c r="B33" s="16" t="s">
        <v>107</v>
      </c>
      <c r="C33" s="54">
        <v>0.1179</v>
      </c>
    </row>
    <row r="34" spans="2:3" ht="15.75" customHeight="1" x14ac:dyDescent="0.25">
      <c r="B34" s="16" t="s">
        <v>108</v>
      </c>
      <c r="C34" s="54">
        <v>0.38350000000223522</v>
      </c>
    </row>
    <row r="35" spans="2:3" ht="15.75" customHeight="1" x14ac:dyDescent="0.25">
      <c r="B35" s="24" t="s">
        <v>41</v>
      </c>
      <c r="C35" s="50">
        <f>SUM(C26:C34)</f>
        <v>1.0000000000022353</v>
      </c>
    </row>
  </sheetData>
  <sheetProtection algorithmName="SHA-512" hashValue="upERNZWE+BEqbno9A2aEeEJm2Np5t9YZ75XIHy5jJ9SbUEab+raDiIsz7j5MQYDQA77Q529fZ6Ps1zC/AQNGKw==" saltValue="u0Yg2PMM5vMZmyrkJ/nj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0.65427627999999993</v>
      </c>
      <c r="D2" s="55">
        <v>0.65427627999999993</v>
      </c>
      <c r="E2" s="55">
        <v>0.58082455</v>
      </c>
      <c r="F2" s="55">
        <v>0.33763176</v>
      </c>
      <c r="G2" s="55">
        <v>0.37854904</v>
      </c>
    </row>
    <row r="3" spans="1:15" ht="15.75" customHeight="1" x14ac:dyDescent="0.25">
      <c r="B3" s="7" t="s">
        <v>113</v>
      </c>
      <c r="C3" s="55">
        <v>0.22998043000000001</v>
      </c>
      <c r="D3" s="55">
        <v>0.22998043000000001</v>
      </c>
      <c r="E3" s="55">
        <v>0.30327574000000002</v>
      </c>
      <c r="F3" s="55">
        <v>0.36072384000000002</v>
      </c>
      <c r="G3" s="55">
        <v>0.36904441999999998</v>
      </c>
    </row>
    <row r="4" spans="1:15" ht="15.75" customHeight="1" x14ac:dyDescent="0.25">
      <c r="B4" s="7" t="s">
        <v>114</v>
      </c>
      <c r="C4" s="56">
        <v>8.6150818000000004E-2</v>
      </c>
      <c r="D4" s="56">
        <v>8.6150818000000004E-2</v>
      </c>
      <c r="E4" s="56">
        <v>9.2486458000000007E-2</v>
      </c>
      <c r="F4" s="56">
        <v>0.20753373999999999</v>
      </c>
      <c r="G4" s="56">
        <v>0.19701047999999999</v>
      </c>
    </row>
    <row r="5" spans="1:15" ht="15.75" customHeight="1" x14ac:dyDescent="0.25">
      <c r="B5" s="7" t="s">
        <v>115</v>
      </c>
      <c r="C5" s="56">
        <v>2.9592485000000002E-2</v>
      </c>
      <c r="D5" s="56">
        <v>2.9592485000000002E-2</v>
      </c>
      <c r="E5" s="56">
        <v>2.3413264999999999E-2</v>
      </c>
      <c r="F5" s="56">
        <v>9.4110669999999993E-2</v>
      </c>
      <c r="G5" s="56">
        <v>5.5396046999999997E-2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0.8374307299999999</v>
      </c>
      <c r="D8" s="55">
        <v>0.8374307299999999</v>
      </c>
      <c r="E8" s="55">
        <v>0.82880814000000003</v>
      </c>
      <c r="F8" s="55">
        <v>0.78037353999999992</v>
      </c>
      <c r="G8" s="55">
        <v>0.84677147000000008</v>
      </c>
    </row>
    <row r="9" spans="1:15" ht="15.75" customHeight="1" x14ac:dyDescent="0.25">
      <c r="B9" s="7" t="s">
        <v>118</v>
      </c>
      <c r="C9" s="55">
        <v>0.12782847999999999</v>
      </c>
      <c r="D9" s="55">
        <v>0.12782847999999999</v>
      </c>
      <c r="E9" s="55">
        <v>0.13019483000000001</v>
      </c>
      <c r="F9" s="55">
        <v>0.17571917000000001</v>
      </c>
      <c r="G9" s="55">
        <v>0.13214471999999999</v>
      </c>
    </row>
    <row r="10" spans="1:15" ht="15.75" customHeight="1" x14ac:dyDescent="0.25">
      <c r="B10" s="7" t="s">
        <v>119</v>
      </c>
      <c r="C10" s="56">
        <v>2.6199343E-2</v>
      </c>
      <c r="D10" s="56">
        <v>2.6199343E-2</v>
      </c>
      <c r="E10" s="56">
        <v>3.6626793999999997E-2</v>
      </c>
      <c r="F10" s="56">
        <v>3.9041571999999997E-2</v>
      </c>
      <c r="G10" s="56">
        <v>1.9322617E-2</v>
      </c>
    </row>
    <row r="11" spans="1:15" ht="15.75" customHeight="1" x14ac:dyDescent="0.25">
      <c r="B11" s="7" t="s">
        <v>120</v>
      </c>
      <c r="C11" s="56">
        <v>8.5414684000000001E-3</v>
      </c>
      <c r="D11" s="56">
        <v>8.5414684000000001E-3</v>
      </c>
      <c r="E11" s="56">
        <v>4.3702688999999999E-3</v>
      </c>
      <c r="F11" s="56">
        <v>4.8656970000000004E-3</v>
      </c>
      <c r="G11" s="56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0.76416372425000001</v>
      </c>
      <c r="D14" s="57">
        <v>0.73473477243899987</v>
      </c>
      <c r="E14" s="57">
        <v>0.73473477243899987</v>
      </c>
      <c r="F14" s="57">
        <v>0.43763231825400001</v>
      </c>
      <c r="G14" s="57">
        <v>0.43763231825400001</v>
      </c>
      <c r="H14" s="58">
        <v>0.67400000000000004</v>
      </c>
      <c r="I14" s="58">
        <v>0.32729477611940289</v>
      </c>
      <c r="J14" s="58">
        <v>0.31617910447761188</v>
      </c>
      <c r="K14" s="58">
        <v>0.33223507462686558</v>
      </c>
      <c r="L14" s="58">
        <v>0.254515929413</v>
      </c>
      <c r="M14" s="58">
        <v>0.21863517472899999</v>
      </c>
      <c r="N14" s="58">
        <v>0.2257161932915</v>
      </c>
      <c r="O14" s="58">
        <v>0.266368620045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0.32585447444074428</v>
      </c>
      <c r="D15" s="55">
        <f t="shared" si="0"/>
        <v>0.31330538931487384</v>
      </c>
      <c r="E15" s="55">
        <f t="shared" si="0"/>
        <v>0.31330538931487384</v>
      </c>
      <c r="F15" s="55">
        <f t="shared" si="0"/>
        <v>0.18661504666804618</v>
      </c>
      <c r="G15" s="55">
        <f t="shared" si="0"/>
        <v>0.18661504666804618</v>
      </c>
      <c r="H15" s="55">
        <f t="shared" si="0"/>
        <v>0.2874068852046292</v>
      </c>
      <c r="I15" s="55">
        <f t="shared" si="0"/>
        <v>0.13956494384009502</v>
      </c>
      <c r="J15" s="55">
        <f t="shared" si="0"/>
        <v>0.13482500235118614</v>
      </c>
      <c r="K15" s="55">
        <f t="shared" si="0"/>
        <v>0.14167158450183229</v>
      </c>
      <c r="L15" s="55">
        <f t="shared" si="0"/>
        <v>0.10853060906164926</v>
      </c>
      <c r="M15" s="55">
        <f t="shared" si="0"/>
        <v>9.3230348019334927E-2</v>
      </c>
      <c r="N15" s="55">
        <f t="shared" si="0"/>
        <v>9.6249833908243376E-2</v>
      </c>
      <c r="O15" s="55">
        <f t="shared" si="0"/>
        <v>0.11358482997535431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a8Zv0amVqtLnuTnCRR4/onRNveSfxhc6MvSIO1rmf/rUQ9UJIYyzDN6/V6+r/HHKfvKjDcfiNov0GYC7l1Myqw==" saltValue="6WsoMTp2jPDoVmJefya+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0.73495160000000004</v>
      </c>
      <c r="D2" s="56">
        <v>0.33603460000000002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0.1755929</v>
      </c>
      <c r="D3" s="56">
        <v>0.26254559999999999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8.3792329999999998E-2</v>
      </c>
      <c r="D4" s="56">
        <v>0.38363609999999998</v>
      </c>
      <c r="E4" s="56">
        <v>0.96779066324233998</v>
      </c>
      <c r="F4" s="56">
        <v>0.54731041193008401</v>
      </c>
      <c r="G4" s="56">
        <v>0</v>
      </c>
    </row>
    <row r="5" spans="1:7" x14ac:dyDescent="0.25">
      <c r="B5" s="98" t="s">
        <v>132</v>
      </c>
      <c r="C5" s="55">
        <v>5.6631699999999804E-3</v>
      </c>
      <c r="D5" s="55">
        <v>1.77837E-2</v>
      </c>
      <c r="E5" s="55">
        <v>3.2209336757660051E-2</v>
      </c>
      <c r="F5" s="55">
        <v>0.45268958806991599</v>
      </c>
      <c r="G5" s="55">
        <v>1</v>
      </c>
    </row>
  </sheetData>
  <sheetProtection algorithmName="SHA-512" hashValue="eXB+I+ZN2zvgC3sLDccOkeaU2V4S0rkaAi5ZE0xa5OOr2QtbpXGwzIUrl2ZXnYjJgRnjuM6GvQQS7AkpAZD5ag==" saltValue="oeEt8f2f7aMBTJ6QO4aVT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qNyaqtnx70PtFR8NMiAVlGz+9kkndawGv/LwEoskxEs2NsLr1WEAov+gYPE2mzjZT1YXThHEi1s39cxD2CogZA==" saltValue="/H2P6iD+g69h9wLFpOp9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bqKso5gfwnFNph+PZPZ1dVNbkPh2Q4q3WUxdZxM0at+ih5NeFHjN0pE3CRYXF7DPbT+zOPLZzmbIYq8VDpd4lA==" saltValue="EXCXH6ZSe+lH3S9dsguiD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AVa/vvuiKeBzu9UbzEUOe/9FtmYkscfsHlgbBs+iyUdnXzeqfIasSTjnbQZPaoqsGEzgfov+7fP4lXn+YFMDOw==" saltValue="E3CpjawLINW2cxGbFmQN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y4POUT+Y06hSPnIysbxIwyXozSjvKmPedIbJWP+aafq4ilEBCZlXkE9jEZqqX4+U9zvTXZF5VDRih/9TVfNpg==" saltValue="g0F6Sw/gwLS5Zs9VE1jAN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2022-02-01T03:09:28Z</dcterms:modified>
</cp:coreProperties>
</file>