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598551D4-E86E-4051-A2C5-999BEB1754DC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A35" i="2"/>
  <c r="A27" i="2"/>
  <c r="A19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I3" i="2"/>
  <c r="H3" i="2"/>
  <c r="G3" i="2"/>
  <c r="I2" i="2"/>
  <c r="H2" i="2"/>
  <c r="G2" i="2"/>
  <c r="A2" i="2"/>
  <c r="A31" i="2" s="1"/>
  <c r="C33" i="1"/>
  <c r="C20" i="1"/>
  <c r="A3" i="2" l="1"/>
  <c r="A16" i="2"/>
  <c r="A24" i="2"/>
  <c r="A32" i="2"/>
  <c r="A17" i="2"/>
  <c r="A25" i="2"/>
  <c r="A33" i="2"/>
  <c r="A4" i="2"/>
  <c r="A5" i="2" s="1"/>
  <c r="A6" i="2" s="1"/>
  <c r="A7" i="2" s="1"/>
  <c r="A8" i="2" s="1"/>
  <c r="A9" i="2" s="1"/>
  <c r="A10" i="2" s="1"/>
  <c r="A11" i="2" s="1"/>
  <c r="A12" i="2"/>
  <c r="A36" i="2"/>
  <c r="A18" i="2"/>
  <c r="A26" i="2"/>
  <c r="A34" i="2"/>
  <c r="A39" i="2"/>
  <c r="A20" i="2"/>
  <c r="A13" i="2"/>
  <c r="A21" i="2"/>
  <c r="A29" i="2"/>
  <c r="A37" i="2"/>
  <c r="A28" i="2"/>
  <c r="A14" i="2"/>
  <c r="A22" i="2"/>
  <c r="A30" i="2"/>
  <c r="A38" i="2"/>
  <c r="A40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<sst xmlns="http://schemas.openxmlformats.org/spreadsheetml/2006/main" count="2092" uniqueCount="341">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</sst>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2099234.15625</v>
      </c>
    </row>
    <row r="8" spans="1:3" ht="15" customHeight="1" x14ac:dyDescent="0.25">
      <c r="B8" s="7" t="s">
        <v>8</v>
      </c>
      <c r="C8" s="46">
        <v>0.59299999999999997</v>
      </c>
    </row>
    <row r="9" spans="1:3" ht="15" customHeight="1" x14ac:dyDescent="0.25">
      <c r="B9" s="7" t="s">
        <v>9</v>
      </c>
      <c r="C9" s="47">
        <v>2.5000000000000001E-2</v>
      </c>
    </row>
    <row r="10" spans="1:3" ht="15" customHeight="1" x14ac:dyDescent="0.25">
      <c r="B10" s="7" t="s">
        <v>10</v>
      </c>
      <c r="C10" s="47">
        <v>0.42616619110107401</v>
      </c>
    </row>
    <row r="11" spans="1:3" ht="15" customHeight="1" x14ac:dyDescent="0.25">
      <c r="B11" s="7" t="s">
        <v>11</v>
      </c>
      <c r="C11" s="46">
        <v>0.86199999999999999</v>
      </c>
    </row>
    <row r="12" spans="1:3" ht="15" customHeight="1" x14ac:dyDescent="0.25">
      <c r="B12" s="7" t="s">
        <v>12</v>
      </c>
      <c r="C12" s="46">
        <v>0.52</v>
      </c>
    </row>
    <row r="13" spans="1:3" ht="15" customHeight="1" x14ac:dyDescent="0.25">
      <c r="B13" s="7" t="s">
        <v>13</v>
      </c>
      <c r="C13" s="46">
        <v>0.34399999999999997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0.1226</v>
      </c>
    </row>
    <row r="24" spans="1:3" ht="15" customHeight="1" x14ac:dyDescent="0.25">
      <c r="B24" s="12" t="s">
        <v>22</v>
      </c>
      <c r="C24" s="47">
        <v>0.47810000000000002</v>
      </c>
    </row>
    <row r="25" spans="1:3" ht="15" customHeight="1" x14ac:dyDescent="0.25">
      <c r="B25" s="12" t="s">
        <v>23</v>
      </c>
      <c r="C25" s="47">
        <v>0.32329999999999998</v>
      </c>
    </row>
    <row r="26" spans="1:3" ht="15" customHeight="1" x14ac:dyDescent="0.25">
      <c r="B26" s="12" t="s">
        <v>24</v>
      </c>
      <c r="C26" s="47">
        <v>7.5999999999999998E-2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0.22600000000000001</v>
      </c>
    </row>
    <row r="30" spans="1:3" ht="14.25" customHeight="1" x14ac:dyDescent="0.25">
      <c r="B30" s="22" t="s">
        <v>27</v>
      </c>
      <c r="C30" s="49">
        <v>9.5000000000000001E-2</v>
      </c>
    </row>
    <row r="31" spans="1:3" ht="14.25" customHeight="1" x14ac:dyDescent="0.25">
      <c r="B31" s="22" t="s">
        <v>28</v>
      </c>
      <c r="C31" s="49">
        <v>0.185</v>
      </c>
    </row>
    <row r="32" spans="1:3" ht="14.25" customHeight="1" x14ac:dyDescent="0.25">
      <c r="B32" s="22" t="s">
        <v>29</v>
      </c>
      <c r="C32" s="49">
        <v>0.49399999999999999</v>
      </c>
    </row>
    <row r="33" spans="1:5" ht="13.2" customHeight="1" x14ac:dyDescent="0.25">
      <c r="B33" s="24" t="s">
        <v>30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12.166279579710499</v>
      </c>
    </row>
    <row r="38" spans="1:5" ht="15" customHeight="1" x14ac:dyDescent="0.25">
      <c r="B38" s="28" t="s">
        <v>34</v>
      </c>
      <c r="C38" s="117">
        <v>20.7475156404135</v>
      </c>
      <c r="D38" s="9"/>
      <c r="E38" s="10"/>
    </row>
    <row r="39" spans="1:5" ht="15" customHeight="1" x14ac:dyDescent="0.25">
      <c r="B39" s="28" t="s">
        <v>35</v>
      </c>
      <c r="C39" s="117">
        <v>24.519627144447099</v>
      </c>
      <c r="D39" s="9"/>
      <c r="E39" s="9"/>
    </row>
    <row r="40" spans="1:5" ht="15" customHeight="1" x14ac:dyDescent="0.25">
      <c r="B40" s="28" t="s">
        <v>36</v>
      </c>
      <c r="C40" s="117">
        <v>95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12.74327555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1.6052E-2</v>
      </c>
      <c r="D45" s="9"/>
    </row>
    <row r="46" spans="1:5" ht="15.75" customHeight="1" x14ac:dyDescent="0.25">
      <c r="B46" s="28" t="s">
        <v>41</v>
      </c>
      <c r="C46" s="47">
        <v>6.0999770000000002E-2</v>
      </c>
      <c r="D46" s="9"/>
    </row>
    <row r="47" spans="1:5" ht="15.75" customHeight="1" x14ac:dyDescent="0.25">
      <c r="B47" s="28" t="s">
        <v>42</v>
      </c>
      <c r="C47" s="47">
        <v>0.1196266</v>
      </c>
      <c r="D47" s="9"/>
      <c r="E47" s="10"/>
    </row>
    <row r="48" spans="1:5" ht="15" customHeight="1" x14ac:dyDescent="0.25">
      <c r="B48" s="28" t="s">
        <v>43</v>
      </c>
      <c r="C48" s="48">
        <v>0.8033216299999999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3.2</v>
      </c>
      <c r="D51" s="9"/>
    </row>
    <row r="52" spans="1:4" ht="15" customHeight="1" x14ac:dyDescent="0.25">
      <c r="B52" s="28" t="s">
        <v>46</v>
      </c>
      <c r="C52" s="51">
        <v>3.2</v>
      </c>
    </row>
    <row r="53" spans="1:4" ht="15.75" customHeight="1" x14ac:dyDescent="0.25">
      <c r="B53" s="28" t="s">
        <v>47</v>
      </c>
      <c r="C53" s="51">
        <v>3.2</v>
      </c>
    </row>
    <row r="54" spans="1:4" ht="15.75" customHeight="1" x14ac:dyDescent="0.25">
      <c r="B54" s="28" t="s">
        <v>48</v>
      </c>
      <c r="C54" s="51">
        <v>3.2</v>
      </c>
    </row>
    <row r="55" spans="1:4" ht="15.75" customHeight="1" x14ac:dyDescent="0.25">
      <c r="B55" s="28" t="s">
        <v>49</v>
      </c>
      <c r="C55" s="51">
        <v>3.2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1.934703748488513E-2</v>
      </c>
    </row>
    <row r="59" spans="1:4" ht="15.75" customHeight="1" x14ac:dyDescent="0.25">
      <c r="B59" s="28" t="s">
        <v>52</v>
      </c>
      <c r="C59" s="46">
        <v>0.48084197253319172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10.957713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0.20624720445403999</v>
      </c>
      <c r="C2" s="115">
        <v>0.95</v>
      </c>
      <c r="D2" s="116">
        <v>58.046796887133439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39.880519812243307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414.67441286273032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0.574003752057752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13.01281925603921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13.01281925603921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13.01281925603921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13.01281925603921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13.01281925603921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13.01281925603921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</v>
      </c>
      <c r="C16" s="115">
        <v>0.95</v>
      </c>
      <c r="D16" s="116">
        <v>0.71958505593456223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0.35743333333333299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0.59367320000000001</v>
      </c>
      <c r="C18" s="115">
        <v>0.95</v>
      </c>
      <c r="D18" s="116">
        <v>9.5596491969757462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0.59367320000000001</v>
      </c>
      <c r="C19" s="115">
        <v>0.95</v>
      </c>
      <c r="D19" s="116">
        <v>9.5596491969757462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0.64999759999999995</v>
      </c>
      <c r="C21" s="115">
        <v>0.95</v>
      </c>
      <c r="D21" s="116">
        <v>7.0854510124004477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22.45630615654899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4.2797375448782464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0.48640626903175999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0.29332682490348799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18.574405815047299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1.2819220311939701E-2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0.626</v>
      </c>
      <c r="C29" s="115">
        <v>0.95</v>
      </c>
      <c r="D29" s="116">
        <v>113.6877099192675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0.15047472246892171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1.545126983877527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5.8038420680000001E-2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0.80150104113057907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0.76665503620772402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7.1150145338447288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0.65063135075419498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3.2</v>
      </c>
      <c r="C2" s="18">
        <f>'Baseline year population inputs'!C52</f>
        <v>3.2</v>
      </c>
      <c r="D2" s="18">
        <f>'Baseline year population inputs'!C53</f>
        <v>3.2</v>
      </c>
      <c r="E2" s="18">
        <f>'Baseline year population inputs'!C54</f>
        <v>3.2</v>
      </c>
      <c r="F2" s="18">
        <f>'Baseline year population inputs'!C55</f>
        <v>3.2</v>
      </c>
    </row>
    <row r="3" spans="1:6" ht="15.75" customHeight="1" x14ac:dyDescent="0.25">
      <c r="A3" s="4" t="s">
        <v>204</v>
      </c>
      <c r="B3" s="18">
        <f>frac_mam_1month * 2.6</f>
        <v>1.90800458192825E-2</v>
      </c>
      <c r="C3" s="18">
        <f>frac_mam_1_5months * 2.6</f>
        <v>1.90800458192825E-2</v>
      </c>
      <c r="D3" s="18">
        <f>frac_mam_6_11months * 2.6</f>
        <v>2.181455716490752E-2</v>
      </c>
      <c r="E3" s="18">
        <f>frac_mam_12_23months * 2.6</f>
        <v>2.698361203074446E-2</v>
      </c>
      <c r="F3" s="18">
        <f>frac_mam_24_59months * 2.6</f>
        <v>1.0831178817898142E-2</v>
      </c>
    </row>
    <row r="4" spans="1:6" ht="15.75" customHeight="1" x14ac:dyDescent="0.25">
      <c r="A4" s="4" t="s">
        <v>205</v>
      </c>
      <c r="B4" s="18">
        <f>frac_sam_1month * 2.6</f>
        <v>5.9327530208975595E-3</v>
      </c>
      <c r="C4" s="18">
        <f>frac_sam_1_5months * 2.6</f>
        <v>5.9327530208975595E-3</v>
      </c>
      <c r="D4" s="18">
        <f>frac_sam_6_11months * 2.6</f>
        <v>1.2831438216381202E-3</v>
      </c>
      <c r="E4" s="18">
        <f>frac_sam_12_23months * 2.6</f>
        <v>1.24847903498448E-3</v>
      </c>
      <c r="F4" s="18">
        <f>frac_sam_24_59months * 2.6</f>
        <v>4.5087812002747802E-3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0.59299999999999997</v>
      </c>
      <c r="E2" s="65">
        <f>food_insecure</f>
        <v>0.59299999999999997</v>
      </c>
      <c r="F2" s="65">
        <f>food_insecure</f>
        <v>0.59299999999999997</v>
      </c>
      <c r="G2" s="65">
        <f>food_insecure</f>
        <v>0.59299999999999997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0.59299999999999997</v>
      </c>
      <c r="F5" s="65">
        <f>food_insecure</f>
        <v>0.59299999999999997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6.1910519951632416E-2</v>
      </c>
      <c r="D7" s="65">
        <f>diarrhoea_1_5mo*frac_diarrhea_severe</f>
        <v>6.1910519951632416E-2</v>
      </c>
      <c r="E7" s="65">
        <f>diarrhoea_6_11mo*frac_diarrhea_severe</f>
        <v>6.1910519951632416E-2</v>
      </c>
      <c r="F7" s="65">
        <f>diarrhoea_12_23mo*frac_diarrhea_severe</f>
        <v>6.1910519951632416E-2</v>
      </c>
      <c r="G7" s="65">
        <f>diarrhoea_24_59mo*frac_diarrhea_severe</f>
        <v>6.1910519951632416E-2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0.59299999999999997</v>
      </c>
      <c r="F8" s="65">
        <f>food_insecure</f>
        <v>0.59299999999999997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0.59299999999999997</v>
      </c>
      <c r="F9" s="65">
        <f>food_insecure</f>
        <v>0.59299999999999997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0.52</v>
      </c>
      <c r="E10" s="65">
        <f>IF(ISBLANK(comm_deliv), frac_children_health_facility,1)</f>
        <v>0.52</v>
      </c>
      <c r="F10" s="65">
        <f>IF(ISBLANK(comm_deliv), frac_children_health_facility,1)</f>
        <v>0.52</v>
      </c>
      <c r="G10" s="65">
        <f>IF(ISBLANK(comm_deliv), frac_children_health_facility,1)</f>
        <v>0.52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6.1910519951632416E-2</v>
      </c>
      <c r="D12" s="65">
        <f>diarrhoea_1_5mo*frac_diarrhea_severe</f>
        <v>6.1910519951632416E-2</v>
      </c>
      <c r="E12" s="65">
        <f>diarrhoea_6_11mo*frac_diarrhea_severe</f>
        <v>6.1910519951632416E-2</v>
      </c>
      <c r="F12" s="65">
        <f>diarrhoea_12_23mo*frac_diarrhea_severe</f>
        <v>6.1910519951632416E-2</v>
      </c>
      <c r="G12" s="65">
        <f>diarrhoea_24_59mo*frac_diarrhea_severe</f>
        <v>6.1910519951632416E-2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0.59299999999999997</v>
      </c>
      <c r="I15" s="65">
        <f>food_insecure</f>
        <v>0.59299999999999997</v>
      </c>
      <c r="J15" s="65">
        <f>food_insecure</f>
        <v>0.59299999999999997</v>
      </c>
      <c r="K15" s="65">
        <f>food_insecure</f>
        <v>0.59299999999999997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0.86199999999999999</v>
      </c>
      <c r="I18" s="65">
        <f>frac_PW_health_facility</f>
        <v>0.86199999999999999</v>
      </c>
      <c r="J18" s="65">
        <f>frac_PW_health_facility</f>
        <v>0.86199999999999999</v>
      </c>
      <c r="K18" s="65">
        <f>frac_PW_health_facility</f>
        <v>0.86199999999999999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2.5000000000000001E-2</v>
      </c>
      <c r="I19" s="65">
        <f>frac_malaria_risk</f>
        <v>2.5000000000000001E-2</v>
      </c>
      <c r="J19" s="65">
        <f>frac_malaria_risk</f>
        <v>2.5000000000000001E-2</v>
      </c>
      <c r="K19" s="65">
        <f>frac_malaria_risk</f>
        <v>2.5000000000000001E-2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0.34399999999999997</v>
      </c>
      <c r="M24" s="65">
        <f>famplan_unmet_need</f>
        <v>0.34399999999999997</v>
      </c>
      <c r="N24" s="65">
        <f>famplan_unmet_need</f>
        <v>0.34399999999999997</v>
      </c>
      <c r="O24" s="65">
        <f>famplan_unmet_need</f>
        <v>0.34399999999999997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0.35263809058265699</v>
      </c>
      <c r="M25" s="65">
        <f>(1-food_insecure)*(0.49)+food_insecure*(0.7)</f>
        <v>0.61453000000000002</v>
      </c>
      <c r="N25" s="65">
        <f>(1-food_insecure)*(0.49)+food_insecure*(0.7)</f>
        <v>0.61453000000000002</v>
      </c>
      <c r="O25" s="65">
        <f>(1-food_insecure)*(0.49)+food_insecure*(0.7)</f>
        <v>0.61453000000000002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0.15113061024971014</v>
      </c>
      <c r="M26" s="65">
        <f>(1-food_insecure)*(0.21)+food_insecure*(0.3)</f>
        <v>0.26336999999999999</v>
      </c>
      <c r="N26" s="65">
        <f>(1-food_insecure)*(0.21)+food_insecure*(0.3)</f>
        <v>0.26336999999999999</v>
      </c>
      <c r="O26" s="65">
        <f>(1-food_insecure)*(0.21)+food_insecure*(0.3)</f>
        <v>0.26336999999999999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7.0065108066558857E-2</v>
      </c>
      <c r="M27" s="65">
        <f>(1-food_insecure)*(0.3)</f>
        <v>0.1221</v>
      </c>
      <c r="N27" s="65">
        <f>(1-food_insecure)*(0.3)</f>
        <v>0.1221</v>
      </c>
      <c r="O27" s="65">
        <f>(1-food_insecure)*(0.3)</f>
        <v>0.1221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0.42616619110107401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2.5000000000000001E-2</v>
      </c>
      <c r="D34" s="65">
        <f t="shared" si="3"/>
        <v>2.5000000000000001E-2</v>
      </c>
      <c r="E34" s="65">
        <f t="shared" si="3"/>
        <v>2.5000000000000001E-2</v>
      </c>
      <c r="F34" s="65">
        <f t="shared" si="3"/>
        <v>2.5000000000000001E-2</v>
      </c>
      <c r="G34" s="65">
        <f t="shared" si="3"/>
        <v>2.5000000000000001E-2</v>
      </c>
      <c r="H34" s="65">
        <f t="shared" si="3"/>
        <v>2.5000000000000001E-2</v>
      </c>
      <c r="I34" s="65">
        <f t="shared" si="3"/>
        <v>2.5000000000000001E-2</v>
      </c>
      <c r="J34" s="65">
        <f t="shared" si="3"/>
        <v>2.5000000000000001E-2</v>
      </c>
      <c r="K34" s="65">
        <f t="shared" si="3"/>
        <v>2.5000000000000001E-2</v>
      </c>
      <c r="L34" s="65">
        <f t="shared" si="3"/>
        <v>2.5000000000000001E-2</v>
      </c>
      <c r="M34" s="65">
        <f t="shared" si="3"/>
        <v>2.5000000000000001E-2</v>
      </c>
      <c r="N34" s="65">
        <f t="shared" si="3"/>
        <v>2.5000000000000001E-2</v>
      </c>
      <c r="O34" s="65">
        <f t="shared" si="3"/>
        <v>2.5000000000000001E-2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428099.10879999999</v>
      </c>
      <c r="C2" s="53">
        <v>955000</v>
      </c>
      <c r="D2" s="53">
        <v>1727000</v>
      </c>
      <c r="E2" s="53">
        <v>1332000</v>
      </c>
      <c r="F2" s="53">
        <v>954000</v>
      </c>
      <c r="G2" s="14">
        <f t="shared" ref="G2:G11" si="0">C2+D2+E2+F2</f>
        <v>4968000</v>
      </c>
      <c r="H2" s="14">
        <f t="shared" ref="H2:H11" si="1">(B2 + stillbirth*B2/(1000-stillbirth))/(1-abortion)</f>
        <v>454533.44918249658</v>
      </c>
      <c r="I2" s="14">
        <f t="shared" ref="I2:I11" si="2">G2-H2</f>
        <v>4513466.5508175036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428987.51479999989</v>
      </c>
      <c r="C3" s="53">
        <v>951000</v>
      </c>
      <c r="D3" s="53">
        <v>1757000</v>
      </c>
      <c r="E3" s="53">
        <v>1367000</v>
      </c>
      <c r="F3" s="53">
        <v>993000</v>
      </c>
      <c r="G3" s="14">
        <f t="shared" si="0"/>
        <v>5068000</v>
      </c>
      <c r="H3" s="14">
        <f t="shared" si="1"/>
        <v>455476.712635173</v>
      </c>
      <c r="I3" s="14">
        <f t="shared" si="2"/>
        <v>4612523.2873648275</v>
      </c>
    </row>
    <row r="4" spans="1:9" ht="15.75" customHeight="1" x14ac:dyDescent="0.25">
      <c r="A4" s="7">
        <f t="shared" si="3"/>
        <v>2023</v>
      </c>
      <c r="B4" s="52">
        <v>429627.63599999988</v>
      </c>
      <c r="C4" s="53">
        <v>945000</v>
      </c>
      <c r="D4" s="53">
        <v>1784000</v>
      </c>
      <c r="E4" s="53">
        <v>1403000</v>
      </c>
      <c r="F4" s="53">
        <v>1032000</v>
      </c>
      <c r="G4" s="14">
        <f t="shared" si="0"/>
        <v>5164000</v>
      </c>
      <c r="H4" s="14">
        <f t="shared" si="1"/>
        <v>456156.36015358625</v>
      </c>
      <c r="I4" s="14">
        <f t="shared" si="2"/>
        <v>4707843.6398464134</v>
      </c>
    </row>
    <row r="5" spans="1:9" ht="15.75" customHeight="1" x14ac:dyDescent="0.25">
      <c r="A5" s="7">
        <f t="shared" si="3"/>
        <v>2024</v>
      </c>
      <c r="B5" s="52">
        <v>429997.12559999991</v>
      </c>
      <c r="C5" s="53">
        <v>939000</v>
      </c>
      <c r="D5" s="53">
        <v>1808000</v>
      </c>
      <c r="E5" s="53">
        <v>1440000</v>
      </c>
      <c r="F5" s="53">
        <v>1070000</v>
      </c>
      <c r="G5" s="14">
        <f t="shared" si="0"/>
        <v>5257000</v>
      </c>
      <c r="H5" s="14">
        <f t="shared" si="1"/>
        <v>456548.66506353067</v>
      </c>
      <c r="I5" s="14">
        <f t="shared" si="2"/>
        <v>4800451.3349364698</v>
      </c>
    </row>
    <row r="6" spans="1:9" ht="15.75" customHeight="1" x14ac:dyDescent="0.25">
      <c r="A6" s="7">
        <f t="shared" si="3"/>
        <v>2025</v>
      </c>
      <c r="B6" s="52">
        <v>430097.10200000001</v>
      </c>
      <c r="C6" s="53">
        <v>938000</v>
      </c>
      <c r="D6" s="53">
        <v>1827000</v>
      </c>
      <c r="E6" s="53">
        <v>1476000</v>
      </c>
      <c r="F6" s="53">
        <v>1105000</v>
      </c>
      <c r="G6" s="14">
        <f t="shared" si="0"/>
        <v>5346000</v>
      </c>
      <c r="H6" s="14">
        <f t="shared" si="1"/>
        <v>456654.81482416968</v>
      </c>
      <c r="I6" s="14">
        <f t="shared" si="2"/>
        <v>4889345.1851758305</v>
      </c>
    </row>
    <row r="7" spans="1:9" ht="15.75" customHeight="1" x14ac:dyDescent="0.25">
      <c r="A7" s="7">
        <f t="shared" si="3"/>
        <v>2026</v>
      </c>
      <c r="B7" s="52">
        <v>430086.20039999997</v>
      </c>
      <c r="C7" s="53">
        <v>938000</v>
      </c>
      <c r="D7" s="53">
        <v>1842000</v>
      </c>
      <c r="E7" s="53">
        <v>1515000</v>
      </c>
      <c r="F7" s="53">
        <v>1140000</v>
      </c>
      <c r="G7" s="14">
        <f t="shared" si="0"/>
        <v>5435000</v>
      </c>
      <c r="H7" s="14">
        <f t="shared" si="1"/>
        <v>456643.24007022189</v>
      </c>
      <c r="I7" s="14">
        <f t="shared" si="2"/>
        <v>4978356.7599297781</v>
      </c>
    </row>
    <row r="8" spans="1:9" ht="15.75" customHeight="1" x14ac:dyDescent="0.25">
      <c r="A8" s="7">
        <f t="shared" si="3"/>
        <v>2027</v>
      </c>
      <c r="B8" s="52">
        <v>429814.67200000002</v>
      </c>
      <c r="C8" s="53">
        <v>943000</v>
      </c>
      <c r="D8" s="53">
        <v>1854000</v>
      </c>
      <c r="E8" s="53">
        <v>1553000</v>
      </c>
      <c r="F8" s="53">
        <v>1173000</v>
      </c>
      <c r="G8" s="14">
        <f t="shared" si="0"/>
        <v>5523000</v>
      </c>
      <c r="H8" s="14">
        <f t="shared" si="1"/>
        <v>456354.94528598618</v>
      </c>
      <c r="I8" s="14">
        <f t="shared" si="2"/>
        <v>5066645.0547140138</v>
      </c>
    </row>
    <row r="9" spans="1:9" ht="15.75" customHeight="1" x14ac:dyDescent="0.25">
      <c r="A9" s="7">
        <f t="shared" si="3"/>
        <v>2028</v>
      </c>
      <c r="B9" s="52">
        <v>429283.6081999999</v>
      </c>
      <c r="C9" s="53">
        <v>949000</v>
      </c>
      <c r="D9" s="53">
        <v>1860000</v>
      </c>
      <c r="E9" s="53">
        <v>1591000</v>
      </c>
      <c r="F9" s="53">
        <v>1204000</v>
      </c>
      <c r="G9" s="14">
        <f t="shared" si="0"/>
        <v>5604000</v>
      </c>
      <c r="H9" s="14">
        <f t="shared" si="1"/>
        <v>455791.08926342492</v>
      </c>
      <c r="I9" s="14">
        <f t="shared" si="2"/>
        <v>5148208.9107365748</v>
      </c>
    </row>
    <row r="10" spans="1:9" ht="15.75" customHeight="1" x14ac:dyDescent="0.25">
      <c r="A10" s="7">
        <f t="shared" si="3"/>
        <v>2029</v>
      </c>
      <c r="B10" s="52">
        <v>428453.0627999999</v>
      </c>
      <c r="C10" s="53">
        <v>956000</v>
      </c>
      <c r="D10" s="53">
        <v>1865000</v>
      </c>
      <c r="E10" s="53">
        <v>1628000</v>
      </c>
      <c r="F10" s="53">
        <v>1236000</v>
      </c>
      <c r="G10" s="14">
        <f t="shared" si="0"/>
        <v>5685000</v>
      </c>
      <c r="H10" s="14">
        <f t="shared" si="1"/>
        <v>454909.25919743185</v>
      </c>
      <c r="I10" s="14">
        <f t="shared" si="2"/>
        <v>5230090.7408025684</v>
      </c>
    </row>
    <row r="11" spans="1:9" ht="15.75" customHeight="1" x14ac:dyDescent="0.25">
      <c r="A11" s="7">
        <f t="shared" si="3"/>
        <v>2030</v>
      </c>
      <c r="B11" s="52">
        <v>427346.46500000003</v>
      </c>
      <c r="C11" s="53">
        <v>964000</v>
      </c>
      <c r="D11" s="53">
        <v>1868000</v>
      </c>
      <c r="E11" s="53">
        <v>1662000</v>
      </c>
      <c r="F11" s="53">
        <v>1269000</v>
      </c>
      <c r="G11" s="14">
        <f t="shared" si="0"/>
        <v>5763000</v>
      </c>
      <c r="H11" s="14">
        <f t="shared" si="1"/>
        <v>453734.33099844167</v>
      </c>
      <c r="I11" s="14">
        <f t="shared" si="2"/>
        <v>5309265.6690015588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3.5130817819071071E-3</v>
      </c>
    </row>
    <row r="4" spans="1:8" ht="15.75" customHeight="1" x14ac:dyDescent="0.25">
      <c r="B4" s="16" t="s">
        <v>69</v>
      </c>
      <c r="C4" s="54">
        <v>0.16756844370482921</v>
      </c>
    </row>
    <row r="5" spans="1:8" ht="15.75" customHeight="1" x14ac:dyDescent="0.25">
      <c r="B5" s="16" t="s">
        <v>70</v>
      </c>
      <c r="C5" s="54">
        <v>5.9256639761155201E-2</v>
      </c>
    </row>
    <row r="6" spans="1:8" ht="15.75" customHeight="1" x14ac:dyDescent="0.25">
      <c r="B6" s="16" t="s">
        <v>71</v>
      </c>
      <c r="C6" s="54">
        <v>0.25038142372736832</v>
      </c>
    </row>
    <row r="7" spans="1:8" ht="15.75" customHeight="1" x14ac:dyDescent="0.25">
      <c r="B7" s="16" t="s">
        <v>72</v>
      </c>
      <c r="C7" s="54">
        <v>0.2720050554315106</v>
      </c>
    </row>
    <row r="8" spans="1:8" ht="15.75" customHeight="1" x14ac:dyDescent="0.25">
      <c r="B8" s="16" t="s">
        <v>73</v>
      </c>
      <c r="C8" s="54">
        <v>0</v>
      </c>
    </row>
    <row r="9" spans="1:8" ht="15.75" customHeight="1" x14ac:dyDescent="0.25">
      <c r="B9" s="16" t="s">
        <v>74</v>
      </c>
      <c r="C9" s="54">
        <v>0.16469480841599021</v>
      </c>
    </row>
    <row r="10" spans="1:8" ht="15.75" customHeight="1" x14ac:dyDescent="0.25">
      <c r="B10" s="16" t="s">
        <v>75</v>
      </c>
      <c r="C10" s="54">
        <v>8.2580547177239449E-2</v>
      </c>
    </row>
    <row r="11" spans="1:8" ht="15.75" customHeight="1" x14ac:dyDescent="0.25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0.12824227691316409</v>
      </c>
      <c r="D14" s="54">
        <v>0.12824227691316409</v>
      </c>
      <c r="E14" s="54">
        <v>0.12824227691316409</v>
      </c>
      <c r="F14" s="54">
        <v>0.12824227691316409</v>
      </c>
    </row>
    <row r="15" spans="1:8" ht="15.75" customHeight="1" x14ac:dyDescent="0.25">
      <c r="B15" s="16" t="s">
        <v>82</v>
      </c>
      <c r="C15" s="54">
        <v>0.23084694781112761</v>
      </c>
      <c r="D15" s="54">
        <v>0.23084694781112761</v>
      </c>
      <c r="E15" s="54">
        <v>0.23084694781112761</v>
      </c>
      <c r="F15" s="54">
        <v>0.23084694781112761</v>
      </c>
    </row>
    <row r="16" spans="1:8" ht="15.75" customHeight="1" x14ac:dyDescent="0.25">
      <c r="B16" s="16" t="s">
        <v>83</v>
      </c>
      <c r="C16" s="54">
        <v>1.8637472624411601E-2</v>
      </c>
      <c r="D16" s="54">
        <v>1.8637472624411601E-2</v>
      </c>
      <c r="E16" s="54">
        <v>1.8637472624411601E-2</v>
      </c>
      <c r="F16" s="54">
        <v>1.8637472624411601E-2</v>
      </c>
    </row>
    <row r="17" spans="1:8" ht="15.75" customHeight="1" x14ac:dyDescent="0.25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85</v>
      </c>
      <c r="C18" s="54">
        <v>1.6307097155405061E-4</v>
      </c>
      <c r="D18" s="54">
        <v>1.6307097155405061E-4</v>
      </c>
      <c r="E18" s="54">
        <v>1.6307097155405061E-4</v>
      </c>
      <c r="F18" s="54">
        <v>1.6307097155405061E-4</v>
      </c>
    </row>
    <row r="19" spans="1:8" ht="15.75" customHeight="1" x14ac:dyDescent="0.25">
      <c r="B19" s="16" t="s">
        <v>86</v>
      </c>
      <c r="C19" s="54">
        <v>9.4710085342881983E-3</v>
      </c>
      <c r="D19" s="54">
        <v>9.4710085342881983E-3</v>
      </c>
      <c r="E19" s="54">
        <v>9.4710085342881983E-3</v>
      </c>
      <c r="F19" s="54">
        <v>9.4710085342881983E-3</v>
      </c>
    </row>
    <row r="20" spans="1:8" ht="15.75" customHeight="1" x14ac:dyDescent="0.25">
      <c r="B20" s="16" t="s">
        <v>87</v>
      </c>
      <c r="C20" s="54">
        <v>3.060338697811155E-2</v>
      </c>
      <c r="D20" s="54">
        <v>3.060338697811155E-2</v>
      </c>
      <c r="E20" s="54">
        <v>3.060338697811155E-2</v>
      </c>
      <c r="F20" s="54">
        <v>3.060338697811155E-2</v>
      </c>
    </row>
    <row r="21" spans="1:8" ht="15.75" customHeight="1" x14ac:dyDescent="0.25">
      <c r="B21" s="16" t="s">
        <v>88</v>
      </c>
      <c r="C21" s="54">
        <v>0.16378983136586209</v>
      </c>
      <c r="D21" s="54">
        <v>0.16378983136586209</v>
      </c>
      <c r="E21" s="54">
        <v>0.16378983136586209</v>
      </c>
      <c r="F21" s="54">
        <v>0.16378983136586209</v>
      </c>
    </row>
    <row r="22" spans="1:8" ht="15.75" customHeight="1" x14ac:dyDescent="0.25">
      <c r="B22" s="16" t="s">
        <v>89</v>
      </c>
      <c r="C22" s="54">
        <v>0.41824600480148089</v>
      </c>
      <c r="D22" s="54">
        <v>0.41824600480148089</v>
      </c>
      <c r="E22" s="54">
        <v>0.41824600480148089</v>
      </c>
      <c r="F22" s="54">
        <v>0.41824600480148089</v>
      </c>
    </row>
    <row r="23" spans="1:8" ht="15.75" customHeight="1" x14ac:dyDescent="0.25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4.9299999999999997E-2</v>
      </c>
    </row>
    <row r="27" spans="1:8" ht="15.75" customHeight="1" x14ac:dyDescent="0.25">
      <c r="B27" s="16" t="s">
        <v>92</v>
      </c>
      <c r="C27" s="54">
        <v>2.8199999999999999E-2</v>
      </c>
    </row>
    <row r="28" spans="1:8" ht="15.75" customHeight="1" x14ac:dyDescent="0.25">
      <c r="B28" s="16" t="s">
        <v>93</v>
      </c>
      <c r="C28" s="54">
        <v>0.34949999999999998</v>
      </c>
    </row>
    <row r="29" spans="1:8" ht="15.75" customHeight="1" x14ac:dyDescent="0.25">
      <c r="B29" s="16" t="s">
        <v>94</v>
      </c>
      <c r="C29" s="54">
        <v>0.2021</v>
      </c>
    </row>
    <row r="30" spans="1:8" ht="15.75" customHeight="1" x14ac:dyDescent="0.25">
      <c r="B30" s="16" t="s">
        <v>95</v>
      </c>
      <c r="C30" s="54">
        <v>0.1053</v>
      </c>
    </row>
    <row r="31" spans="1:8" ht="15.75" customHeight="1" x14ac:dyDescent="0.25">
      <c r="B31" s="16" t="s">
        <v>96</v>
      </c>
      <c r="C31" s="54">
        <v>5.5199999999999999E-2</v>
      </c>
    </row>
    <row r="32" spans="1:8" ht="15.75" customHeight="1" x14ac:dyDescent="0.25">
      <c r="B32" s="16" t="s">
        <v>97</v>
      </c>
      <c r="C32" s="54">
        <v>8.5000000000000006E-3</v>
      </c>
    </row>
    <row r="33" spans="2:3" ht="15.75" customHeight="1" x14ac:dyDescent="0.25">
      <c r="B33" s="16" t="s">
        <v>98</v>
      </c>
      <c r="C33" s="54">
        <v>0.16819999999999999</v>
      </c>
    </row>
    <row r="34" spans="2:3" ht="15.75" customHeight="1" x14ac:dyDescent="0.25">
      <c r="B34" s="16" t="s">
        <v>99</v>
      </c>
      <c r="C34" s="54">
        <v>3.3699999997764823E-2</v>
      </c>
    </row>
    <row r="35" spans="2:3" ht="15.75" customHeight="1" x14ac:dyDescent="0.25">
      <c r="B35" s="24" t="s">
        <v>30</v>
      </c>
      <c r="C35" s="50">
        <f>SUM(C26:C34)</f>
        <v>0.99999999999776479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0.35626244544982899</v>
      </c>
      <c r="D2" s="55">
        <v>0.35626244544982899</v>
      </c>
      <c r="E2" s="55">
        <v>0.29839089512825001</v>
      </c>
      <c r="F2" s="55">
        <v>0.18656063079834001</v>
      </c>
      <c r="G2" s="55">
        <v>0.20041115581989299</v>
      </c>
    </row>
    <row r="3" spans="1:15" ht="15.75" customHeight="1" x14ac:dyDescent="0.25">
      <c r="B3" s="7" t="s">
        <v>103</v>
      </c>
      <c r="C3" s="55">
        <v>0.32949304580688499</v>
      </c>
      <c r="D3" s="55">
        <v>0.32949304580688499</v>
      </c>
      <c r="E3" s="55">
        <v>0.35086461901664701</v>
      </c>
      <c r="F3" s="55">
        <v>0.300248473882675</v>
      </c>
      <c r="G3" s="55">
        <v>0.30335807800293002</v>
      </c>
    </row>
    <row r="4" spans="1:15" ht="15.75" customHeight="1" x14ac:dyDescent="0.25">
      <c r="B4" s="7" t="s">
        <v>104</v>
      </c>
      <c r="C4" s="56">
        <v>0.22817276418209101</v>
      </c>
      <c r="D4" s="56">
        <v>0.22817276418209101</v>
      </c>
      <c r="E4" s="56">
        <v>0.244585171341896</v>
      </c>
      <c r="F4" s="56">
        <v>0.30018362402915999</v>
      </c>
      <c r="G4" s="56">
        <v>0.31933081150054898</v>
      </c>
    </row>
    <row r="5" spans="1:15" ht="15.75" customHeight="1" x14ac:dyDescent="0.25">
      <c r="B5" s="7" t="s">
        <v>105</v>
      </c>
      <c r="C5" s="56">
        <v>8.607173711061479E-2</v>
      </c>
      <c r="D5" s="56">
        <v>8.607173711061479E-2</v>
      </c>
      <c r="E5" s="56">
        <v>0.106159321963787</v>
      </c>
      <c r="F5" s="56">
        <v>0.21300728619098699</v>
      </c>
      <c r="G5" s="56">
        <v>0.176899954676628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0.96720427274703991</v>
      </c>
      <c r="D8" s="55">
        <v>0.96720427274703991</v>
      </c>
      <c r="E8" s="55">
        <v>0.92941868305206299</v>
      </c>
      <c r="F8" s="55">
        <v>0.89338493347168002</v>
      </c>
      <c r="G8" s="55">
        <v>0.93716299533843994</v>
      </c>
    </row>
    <row r="9" spans="1:15" ht="15.75" customHeight="1" x14ac:dyDescent="0.25">
      <c r="B9" s="7" t="s">
        <v>108</v>
      </c>
      <c r="C9" s="55">
        <v>2.3175407201051702E-2</v>
      </c>
      <c r="D9" s="55">
        <v>2.3175407201051702E-2</v>
      </c>
      <c r="E9" s="55">
        <v>6.1697617173194913E-2</v>
      </c>
      <c r="F9" s="55">
        <v>9.5756553113460499E-2</v>
      </c>
      <c r="G9" s="55">
        <v>5.69369979202747E-2</v>
      </c>
    </row>
    <row r="10" spans="1:15" ht="15.75" customHeight="1" x14ac:dyDescent="0.25">
      <c r="B10" s="7" t="s">
        <v>109</v>
      </c>
      <c r="C10" s="56">
        <v>7.3384791612625001E-3</v>
      </c>
      <c r="D10" s="56">
        <v>7.3384791612625001E-3</v>
      </c>
      <c r="E10" s="56">
        <v>8.3902142941951995E-3</v>
      </c>
      <c r="F10" s="56">
        <v>1.0378312319517099E-2</v>
      </c>
      <c r="G10" s="56">
        <v>4.1658380068839004E-3</v>
      </c>
    </row>
    <row r="11" spans="1:15" ht="15.75" customHeight="1" x14ac:dyDescent="0.25">
      <c r="B11" s="7" t="s">
        <v>110</v>
      </c>
      <c r="C11" s="56">
        <v>2.2818280849605998E-3</v>
      </c>
      <c r="D11" s="56">
        <v>2.2818280849605998E-3</v>
      </c>
      <c r="E11" s="56">
        <v>4.9351685447620002E-4</v>
      </c>
      <c r="F11" s="56">
        <v>4.8018424422479998E-4</v>
      </c>
      <c r="G11" s="56">
        <v>1.7341466154903E-3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0.66242282200000024</v>
      </c>
      <c r="D14" s="57">
        <v>0.62910825079199995</v>
      </c>
      <c r="E14" s="57">
        <v>0.62910825079199995</v>
      </c>
      <c r="F14" s="57">
        <v>0.35119943787399999</v>
      </c>
      <c r="G14" s="57">
        <v>0.35119943787399999</v>
      </c>
      <c r="H14" s="58">
        <v>0.49700000000000011</v>
      </c>
      <c r="I14" s="58">
        <v>0.20819117647058821</v>
      </c>
      <c r="J14" s="58">
        <v>0.23844117647058821</v>
      </c>
      <c r="K14" s="58">
        <v>0.26157352941176459</v>
      </c>
      <c r="L14" s="58">
        <v>0.13953691375400001</v>
      </c>
      <c r="M14" s="58">
        <v>0.13766703107799999</v>
      </c>
      <c r="N14" s="58">
        <v>0.1343885925795</v>
      </c>
      <c r="O14" s="58">
        <v>9.3261931079349991E-2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0.31852069638148345</v>
      </c>
      <c r="D15" s="55">
        <f t="shared" si="0"/>
        <v>0.30250165224773112</v>
      </c>
      <c r="E15" s="55">
        <f t="shared" si="0"/>
        <v>0.30250165224773112</v>
      </c>
      <c r="F15" s="55">
        <f t="shared" si="0"/>
        <v>0.16887143045988226</v>
      </c>
      <c r="G15" s="55">
        <f t="shared" si="0"/>
        <v>0.16887143045988226</v>
      </c>
      <c r="H15" s="55">
        <f t="shared" si="0"/>
        <v>0.23897846034899634</v>
      </c>
      <c r="I15" s="55">
        <f t="shared" si="0"/>
        <v>0.10010705595812344</v>
      </c>
      <c r="J15" s="55">
        <f t="shared" si="0"/>
        <v>0.11465252562725249</v>
      </c>
      <c r="K15" s="55">
        <f t="shared" si="0"/>
        <v>0.12577553184482174</v>
      </c>
      <c r="L15" s="55">
        <f t="shared" si="0"/>
        <v>6.7095204850667223E-2</v>
      </c>
      <c r="M15" s="55">
        <f t="shared" si="0"/>
        <v>6.6196086776333721E-2</v>
      </c>
      <c r="N15" s="55">
        <f t="shared" si="0"/>
        <v>6.4619675941886237E-2</v>
      </c>
      <c r="O15" s="55">
        <f t="shared" si="0"/>
        <v>4.4844250902449229E-2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0.63745838403701804</v>
      </c>
      <c r="D2" s="56">
        <v>0.51996969999999998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0.13529306650161699</v>
      </c>
      <c r="D3" s="56">
        <v>0.1694263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0.191281378269196</v>
      </c>
      <c r="D4" s="56">
        <v>0.25796720000000001</v>
      </c>
      <c r="E4" s="56">
        <v>0.90781038999557495</v>
      </c>
      <c r="F4" s="56">
        <v>0.72040623426437411</v>
      </c>
      <c r="G4" s="56">
        <v>0</v>
      </c>
    </row>
    <row r="5" spans="1:7" x14ac:dyDescent="0.25">
      <c r="B5" s="98" t="s">
        <v>122</v>
      </c>
      <c r="C5" s="55">
        <v>3.5967171192169002E-2</v>
      </c>
      <c r="D5" s="55">
        <v>5.26367999999999E-2</v>
      </c>
      <c r="E5" s="55">
        <v>9.2189610004425049E-2</v>
      </c>
      <c r="F5" s="55">
        <v>0.27959376573562589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2022-02-01T03:24:00Z</dcterms:modified>
</cp:coreProperties>
</file>