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D639016F-7643-47F9-A5B9-D26D401A61BE}" xr6:coauthVersionLast="47" xr6:coauthVersionMax="47" xr10:uidLastSave="{00000000-0000-0000-0000-000000000000}"/>
  <bookViews>
    <workbookView xWindow="36" yWindow="24" windowWidth="23004" windowHeight="12336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H39" i="2"/>
  <c r="G39" i="2"/>
  <c r="I39" i="2" s="1"/>
  <c r="A39" i="2"/>
  <c r="I38" i="2"/>
  <c r="H38" i="2"/>
  <c r="G38" i="2"/>
  <c r="A35" i="2"/>
  <c r="A34" i="2"/>
  <c r="A33" i="2"/>
  <c r="A31" i="2"/>
  <c r="A27" i="2"/>
  <c r="A26" i="2"/>
  <c r="A25" i="2"/>
  <c r="A24" i="2"/>
  <c r="A23" i="2"/>
  <c r="A19" i="2"/>
  <c r="A18" i="2"/>
  <c r="A17" i="2"/>
  <c r="A16" i="2"/>
  <c r="A15" i="2"/>
  <c r="H11" i="2"/>
  <c r="G11" i="2"/>
  <c r="I11" i="2" s="1"/>
  <c r="I10" i="2"/>
  <c r="H10" i="2"/>
  <c r="G10" i="2"/>
  <c r="H9" i="2"/>
  <c r="G9" i="2"/>
  <c r="I9" i="2" s="1"/>
  <c r="I8" i="2"/>
  <c r="H8" i="2"/>
  <c r="G8" i="2"/>
  <c r="H7" i="2"/>
  <c r="G7" i="2"/>
  <c r="I7" i="2" s="1"/>
  <c r="I6" i="2"/>
  <c r="H6" i="2"/>
  <c r="G6" i="2"/>
  <c r="H5" i="2"/>
  <c r="G5" i="2"/>
  <c r="I5" i="2" s="1"/>
  <c r="I4" i="2"/>
  <c r="H4" i="2"/>
  <c r="G4" i="2"/>
  <c r="H3" i="2"/>
  <c r="G3" i="2"/>
  <c r="I3" i="2" s="1"/>
  <c r="A3" i="2"/>
  <c r="I2" i="2"/>
  <c r="H2" i="2"/>
  <c r="G2" i="2"/>
  <c r="A2" i="2"/>
  <c r="A32" i="2" s="1"/>
  <c r="C33" i="1"/>
  <c r="C20" i="1"/>
  <c r="A4" i="2" l="1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A14" i="2"/>
  <c r="A22" i="2"/>
  <c r="A30" i="2"/>
  <c r="A38" i="2"/>
  <c r="A40" i="2"/>
  <c r="D5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<sst xmlns="http://schemas.openxmlformats.org/spreadsheetml/2006/main" count="2092" uniqueCount="341">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</sst>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4140625" defaultRowHeight="15.75" customHeight="1" x14ac:dyDescent="0.25"/>
  <cols>
    <col min="1" max="1" width="27.6640625" style="113" customWidth="1"/>
    <col min="2" max="2" width="38.6640625" style="28" customWidth="1"/>
    <col min="3" max="3" width="14.44140625" style="113" customWidth="1"/>
    <col min="4" max="16384" width="14.44140625" style="113"/>
  </cols>
  <sheetData>
    <row r="1" spans="1:3" ht="15.9" customHeight="1" x14ac:dyDescent="0.25">
      <c r="A1" s="1" t="s">
        <v>0</v>
      </c>
      <c r="B1" s="27" t="s">
        <v>1</v>
      </c>
      <c r="C1" s="27" t="s">
        <v>2</v>
      </c>
    </row>
    <row r="2" spans="1:3" ht="15.9" customHeight="1" x14ac:dyDescent="0.25">
      <c r="A2" s="113" t="s">
        <v>3</v>
      </c>
      <c r="B2" s="27"/>
      <c r="C2" s="27"/>
    </row>
    <row r="3" spans="1:3" ht="15.9" customHeight="1" x14ac:dyDescent="0.25">
      <c r="A3" s="1"/>
      <c r="B3" s="7" t="s">
        <v>4</v>
      </c>
      <c r="C3" s="43">
        <v>2021</v>
      </c>
    </row>
    <row r="4" spans="1:3" ht="15.9" customHeight="1" x14ac:dyDescent="0.25">
      <c r="A4" s="1"/>
      <c r="B4" s="7" t="s">
        <v>5</v>
      </c>
      <c r="C4" s="44">
        <v>2030</v>
      </c>
    </row>
    <row r="5" spans="1:3" ht="15.9" customHeight="1" x14ac:dyDescent="0.25">
      <c r="A5" s="1"/>
      <c r="B5" s="27"/>
      <c r="C5" s="27"/>
    </row>
    <row r="6" spans="1:3" ht="15" customHeight="1" x14ac:dyDescent="0.25">
      <c r="A6" s="113" t="s">
        <v>6</v>
      </c>
    </row>
    <row r="7" spans="1:3" ht="15" customHeight="1" x14ac:dyDescent="0.25">
      <c r="B7" s="28" t="s">
        <v>7</v>
      </c>
      <c r="C7" s="45">
        <v>1160109.375</v>
      </c>
    </row>
    <row r="8" spans="1:3" ht="15" customHeight="1" x14ac:dyDescent="0.25">
      <c r="B8" s="7" t="s">
        <v>8</v>
      </c>
      <c r="C8" s="46">
        <v>0.52900000000000003</v>
      </c>
    </row>
    <row r="9" spans="1:3" ht="15" customHeight="1" x14ac:dyDescent="0.25">
      <c r="B9" s="7" t="s">
        <v>9</v>
      </c>
      <c r="C9" s="47">
        <v>0.99900000000000011</v>
      </c>
    </row>
    <row r="10" spans="1:3" ht="15" customHeight="1" x14ac:dyDescent="0.25">
      <c r="B10" s="7" t="s">
        <v>10</v>
      </c>
      <c r="C10" s="47">
        <v>0.369639015197754</v>
      </c>
    </row>
    <row r="11" spans="1:3" ht="15" customHeight="1" x14ac:dyDescent="0.25">
      <c r="B11" s="7" t="s">
        <v>11</v>
      </c>
      <c r="C11" s="46">
        <v>0.76</v>
      </c>
    </row>
    <row r="12" spans="1:3" ht="15" customHeight="1" x14ac:dyDescent="0.25">
      <c r="B12" s="7" t="s">
        <v>12</v>
      </c>
      <c r="C12" s="46">
        <v>0.71700000000000008</v>
      </c>
    </row>
    <row r="13" spans="1:3" ht="15" customHeight="1" x14ac:dyDescent="0.25">
      <c r="B13" s="7" t="s">
        <v>13</v>
      </c>
      <c r="C13" s="46">
        <v>0.625</v>
      </c>
    </row>
    <row r="14" spans="1:3" ht="15" customHeight="1" x14ac:dyDescent="0.25">
      <c r="B14" s="113"/>
    </row>
    <row r="15" spans="1:3" ht="15" customHeight="1" x14ac:dyDescent="0.25">
      <c r="A15" s="113" t="s">
        <v>14</v>
      </c>
      <c r="B15" s="11"/>
      <c r="C15" s="4"/>
    </row>
    <row r="16" spans="1:3" ht="15" customHeight="1" x14ac:dyDescent="0.25">
      <c r="B16" s="7" t="s">
        <v>15</v>
      </c>
      <c r="C16" s="47">
        <v>0.1</v>
      </c>
    </row>
    <row r="17" spans="1:3" ht="15" customHeight="1" x14ac:dyDescent="0.25">
      <c r="B17" s="7" t="s">
        <v>16</v>
      </c>
      <c r="C17" s="47">
        <v>0.1</v>
      </c>
    </row>
    <row r="18" spans="1:3" ht="15" customHeight="1" x14ac:dyDescent="0.25">
      <c r="B18" s="7" t="s">
        <v>17</v>
      </c>
      <c r="C18" s="47">
        <v>0.1</v>
      </c>
    </row>
    <row r="19" spans="1:3" ht="15" customHeight="1" x14ac:dyDescent="0.25">
      <c r="B19" s="7" t="s">
        <v>18</v>
      </c>
      <c r="C19" s="47">
        <v>0.1</v>
      </c>
    </row>
    <row r="20" spans="1:3" ht="15" customHeight="1" x14ac:dyDescent="0.25">
      <c r="B20" s="7" t="s">
        <v>19</v>
      </c>
      <c r="C20" s="48">
        <f>1-frac_rice-frac_wheat-frac_maize</f>
        <v>0.70000000000000007</v>
      </c>
    </row>
    <row r="21" spans="1:3" ht="15" customHeight="1" x14ac:dyDescent="0.25">
      <c r="B21" s="113"/>
    </row>
    <row r="22" spans="1:3" ht="15" customHeight="1" x14ac:dyDescent="0.25">
      <c r="A22" s="113" t="s">
        <v>20</v>
      </c>
    </row>
    <row r="23" spans="1:3" ht="15" customHeight="1" x14ac:dyDescent="0.25">
      <c r="B23" s="12" t="s">
        <v>21</v>
      </c>
      <c r="C23" s="47">
        <v>0.13070000000000001</v>
      </c>
    </row>
    <row r="24" spans="1:3" ht="15" customHeight="1" x14ac:dyDescent="0.25">
      <c r="B24" s="12" t="s">
        <v>22</v>
      </c>
      <c r="C24" s="47">
        <v>0.4617</v>
      </c>
    </row>
    <row r="25" spans="1:3" ht="15" customHeight="1" x14ac:dyDescent="0.25">
      <c r="B25" s="12" t="s">
        <v>23</v>
      </c>
      <c r="C25" s="47">
        <v>0.31919999999999998</v>
      </c>
    </row>
    <row r="26" spans="1:3" ht="15" customHeight="1" x14ac:dyDescent="0.25">
      <c r="B26" s="12" t="s">
        <v>24</v>
      </c>
      <c r="C26" s="47">
        <v>8.8399999999999992E-2</v>
      </c>
    </row>
    <row r="27" spans="1:3" ht="15" customHeight="1" x14ac:dyDescent="0.25">
      <c r="B27" s="12"/>
      <c r="C27" s="12"/>
    </row>
    <row r="28" spans="1:3" ht="15" customHeight="1" x14ac:dyDescent="0.25">
      <c r="A28" s="113" t="s">
        <v>25</v>
      </c>
      <c r="B28" s="12"/>
      <c r="C28" s="12"/>
    </row>
    <row r="29" spans="1:3" ht="14.25" customHeight="1" x14ac:dyDescent="0.25">
      <c r="B29" s="22" t="s">
        <v>26</v>
      </c>
      <c r="C29" s="49">
        <v>0.2</v>
      </c>
    </row>
    <row r="30" spans="1:3" ht="14.25" customHeight="1" x14ac:dyDescent="0.25">
      <c r="B30" s="22" t="s">
        <v>27</v>
      </c>
      <c r="C30" s="49">
        <v>4.5999999999999999E-2</v>
      </c>
    </row>
    <row r="31" spans="1:3" ht="14.25" customHeight="1" x14ac:dyDescent="0.25">
      <c r="B31" s="22" t="s">
        <v>28</v>
      </c>
      <c r="C31" s="49">
        <v>0.109</v>
      </c>
    </row>
    <row r="32" spans="1:3" ht="14.25" customHeight="1" x14ac:dyDescent="0.25">
      <c r="B32" s="22" t="s">
        <v>29</v>
      </c>
      <c r="C32" s="49">
        <v>0.64500000001490121</v>
      </c>
    </row>
    <row r="33" spans="1:5" ht="13.2" customHeight="1" x14ac:dyDescent="0.25">
      <c r="B33" s="24" t="s">
        <v>30</v>
      </c>
      <c r="C33" s="50">
        <f>SUM(C29:C32)</f>
        <v>1.0000000000149012</v>
      </c>
    </row>
    <row r="34" spans="1:5" ht="15" customHeight="1" x14ac:dyDescent="0.25"/>
    <row r="35" spans="1:5" ht="15" customHeight="1" x14ac:dyDescent="0.25">
      <c r="A35" s="39" t="s">
        <v>31</v>
      </c>
    </row>
    <row r="36" spans="1:5" ht="15" customHeight="1" x14ac:dyDescent="0.25">
      <c r="A36" s="113" t="s">
        <v>32</v>
      </c>
      <c r="B36" s="7"/>
    </row>
    <row r="37" spans="1:5" ht="15" customHeight="1" x14ac:dyDescent="0.25">
      <c r="B37" s="28" t="s">
        <v>33</v>
      </c>
      <c r="C37" s="117">
        <v>31.178803074694098</v>
      </c>
    </row>
    <row r="38" spans="1:5" ht="15" customHeight="1" x14ac:dyDescent="0.25">
      <c r="B38" s="28" t="s">
        <v>34</v>
      </c>
      <c r="C38" s="117">
        <v>80.921036391288396</v>
      </c>
      <c r="D38" s="9"/>
      <c r="E38" s="10"/>
    </row>
    <row r="39" spans="1:5" ht="15" customHeight="1" x14ac:dyDescent="0.25">
      <c r="B39" s="28" t="s">
        <v>35</v>
      </c>
      <c r="C39" s="117">
        <v>109.236527986754</v>
      </c>
      <c r="D39" s="9"/>
      <c r="E39" s="9"/>
    </row>
    <row r="40" spans="1:5" ht="15" customHeight="1" x14ac:dyDescent="0.25">
      <c r="B40" s="28" t="s">
        <v>36</v>
      </c>
      <c r="C40" s="117">
        <v>1120</v>
      </c>
    </row>
    <row r="41" spans="1:5" ht="15" customHeight="1" x14ac:dyDescent="0.25">
      <c r="B41" s="28" t="s">
        <v>37</v>
      </c>
      <c r="C41" s="118">
        <v>4.5999999999999999E-2</v>
      </c>
    </row>
    <row r="42" spans="1:5" ht="15" customHeight="1" x14ac:dyDescent="0.25">
      <c r="B42" s="28" t="s">
        <v>38</v>
      </c>
      <c r="C42" s="117">
        <v>23.723978259999999</v>
      </c>
    </row>
    <row r="43" spans="1:5" ht="15.75" customHeight="1" x14ac:dyDescent="0.25">
      <c r="D43" s="9"/>
    </row>
    <row r="44" spans="1:5" ht="15.75" customHeight="1" x14ac:dyDescent="0.25">
      <c r="A44" s="113" t="s">
        <v>39</v>
      </c>
      <c r="D44" s="9"/>
    </row>
    <row r="45" spans="1:5" ht="15.75" customHeight="1" x14ac:dyDescent="0.25">
      <c r="B45" s="28" t="s">
        <v>40</v>
      </c>
      <c r="C45" s="47">
        <v>1.61006E-2</v>
      </c>
      <c r="D45" s="9"/>
    </row>
    <row r="46" spans="1:5" ht="15.75" customHeight="1" x14ac:dyDescent="0.25">
      <c r="B46" s="28" t="s">
        <v>41</v>
      </c>
      <c r="C46" s="47">
        <v>8.3966399999999997E-2</v>
      </c>
      <c r="D46" s="9"/>
    </row>
    <row r="47" spans="1:5" ht="15.75" customHeight="1" x14ac:dyDescent="0.25">
      <c r="B47" s="28" t="s">
        <v>42</v>
      </c>
      <c r="C47" s="47">
        <v>0.26741039999999999</v>
      </c>
      <c r="D47" s="9"/>
      <c r="E47" s="10"/>
    </row>
    <row r="48" spans="1:5" ht="15" customHeight="1" x14ac:dyDescent="0.25">
      <c r="B48" s="28" t="s">
        <v>43</v>
      </c>
      <c r="C48" s="48">
        <v>0.63252260000000005</v>
      </c>
      <c r="D48" s="9"/>
      <c r="E48" s="9"/>
    </row>
    <row r="49" spans="1:4" ht="15.75" customHeight="1" x14ac:dyDescent="0.25">
      <c r="D49" s="9"/>
    </row>
    <row r="50" spans="1:4" ht="15.75" customHeight="1" x14ac:dyDescent="0.25">
      <c r="A50" s="113" t="s">
        <v>44</v>
      </c>
      <c r="D50" s="9"/>
    </row>
    <row r="51" spans="1:4" ht="15.75" customHeight="1" x14ac:dyDescent="0.25">
      <c r="B51" s="28" t="s">
        <v>45</v>
      </c>
      <c r="C51" s="51">
        <v>3.3</v>
      </c>
      <c r="D51" s="9"/>
    </row>
    <row r="52" spans="1:4" ht="15" customHeight="1" x14ac:dyDescent="0.25">
      <c r="B52" s="28" t="s">
        <v>46</v>
      </c>
      <c r="C52" s="51">
        <v>3.3</v>
      </c>
    </row>
    <row r="53" spans="1:4" ht="15.75" customHeight="1" x14ac:dyDescent="0.25">
      <c r="B53" s="28" t="s">
        <v>47</v>
      </c>
      <c r="C53" s="51">
        <v>3.3</v>
      </c>
    </row>
    <row r="54" spans="1:4" ht="15.75" customHeight="1" x14ac:dyDescent="0.25">
      <c r="B54" s="28" t="s">
        <v>48</v>
      </c>
      <c r="C54" s="51">
        <v>3.3</v>
      </c>
    </row>
    <row r="55" spans="1:4" ht="15.75" customHeight="1" x14ac:dyDescent="0.25">
      <c r="B55" s="28" t="s">
        <v>49</v>
      </c>
      <c r="C55" s="51">
        <v>3.3</v>
      </c>
    </row>
    <row r="57" spans="1:4" ht="15.75" customHeight="1" x14ac:dyDescent="0.25">
      <c r="A57" s="113" t="s">
        <v>50</v>
      </c>
    </row>
    <row r="58" spans="1:4" ht="15.75" customHeight="1" x14ac:dyDescent="0.25">
      <c r="B58" s="7" t="s">
        <v>51</v>
      </c>
      <c r="C58" s="46">
        <v>2.1937842778793421E-2</v>
      </c>
    </row>
    <row r="59" spans="1:4" ht="15.75" customHeight="1" x14ac:dyDescent="0.25">
      <c r="B59" s="28" t="s">
        <v>52</v>
      </c>
      <c r="C59" s="46">
        <v>0.41310871141051281</v>
      </c>
    </row>
    <row r="60" spans="1:4" ht="15.75" customHeight="1" x14ac:dyDescent="0.25">
      <c r="B60" s="28" t="s">
        <v>53</v>
      </c>
      <c r="C60" s="46">
        <v>4.5999999999999999E-2</v>
      </c>
    </row>
    <row r="61" spans="1:4" ht="15.75" customHeight="1" x14ac:dyDescent="0.25">
      <c r="B61" s="28" t="s">
        <v>54</v>
      </c>
      <c r="C61" s="46">
        <v>1.4E-2</v>
      </c>
    </row>
    <row r="62" spans="1:4" ht="15.75" customHeight="1" x14ac:dyDescent="0.25">
      <c r="B62" s="28" t="s">
        <v>55</v>
      </c>
      <c r="C62" s="119">
        <v>14.415100000000001</v>
      </c>
    </row>
    <row r="63" spans="1:4" ht="15.75" customHeight="1" x14ac:dyDescent="0.25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4140625" defaultRowHeight="15.75" customHeight="1" x14ac:dyDescent="0.25"/>
  <cols>
    <col min="1" max="1" width="8.44140625" style="113" customWidth="1"/>
    <col min="2" max="9" width="16.88671875" style="113" customWidth="1"/>
    <col min="10" max="10" width="14.44140625" style="113" customWidth="1"/>
    <col min="11" max="16384" width="14.44140625" style="113"/>
  </cols>
  <sheetData>
    <row r="1" spans="1:9" s="13" customFormat="1" ht="30" customHeight="1" x14ac:dyDescent="0.25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5">
      <c r="A2" s="7">
        <f>start_year</f>
        <v>2021</v>
      </c>
      <c r="B2" s="52">
        <v>265556.87760000001</v>
      </c>
      <c r="C2" s="53">
        <v>460000</v>
      </c>
      <c r="D2" s="53">
        <v>730000</v>
      </c>
      <c r="E2" s="53">
        <v>41000</v>
      </c>
      <c r="F2" s="53">
        <v>35000</v>
      </c>
      <c r="G2" s="14">
        <f t="shared" ref="G2:G11" si="0">C2+D2+E2+F2</f>
        <v>1266000</v>
      </c>
      <c r="H2" s="14">
        <f t="shared" ref="H2:H11" si="1">(B2 + stillbirth*B2/(1000-stillbirth))/(1-abortion)</f>
        <v>285125.82581114722</v>
      </c>
      <c r="I2" s="14">
        <f t="shared" ref="I2:I11" si="2">G2-H2</f>
        <v>980874.17418885278</v>
      </c>
    </row>
    <row r="3" spans="1:9" ht="15.75" customHeight="1" x14ac:dyDescent="0.25">
      <c r="A3" s="7">
        <f t="shared" ref="A3:A40" si="3">IF($A$2+ROW(A3)-2&lt;=end_year,A2+1,"")</f>
        <v>2022</v>
      </c>
      <c r="B3" s="52">
        <v>266760.5232</v>
      </c>
      <c r="C3" s="53">
        <v>471000</v>
      </c>
      <c r="D3" s="53">
        <v>750000</v>
      </c>
      <c r="E3" s="53">
        <v>41000</v>
      </c>
      <c r="F3" s="53">
        <v>36000</v>
      </c>
      <c r="G3" s="14">
        <f t="shared" si="0"/>
        <v>1298000</v>
      </c>
      <c r="H3" s="14">
        <f t="shared" si="1"/>
        <v>286418.1683359787</v>
      </c>
      <c r="I3" s="14">
        <f t="shared" si="2"/>
        <v>1011581.8316640214</v>
      </c>
    </row>
    <row r="4" spans="1:9" ht="15.75" customHeight="1" x14ac:dyDescent="0.25">
      <c r="A4" s="7">
        <f t="shared" si="3"/>
        <v>2023</v>
      </c>
      <c r="B4" s="52">
        <v>267801.3468</v>
      </c>
      <c r="C4" s="53">
        <v>482000</v>
      </c>
      <c r="D4" s="53">
        <v>770000</v>
      </c>
      <c r="E4" s="53">
        <v>42000</v>
      </c>
      <c r="F4" s="53">
        <v>36000</v>
      </c>
      <c r="G4" s="14">
        <f t="shared" si="0"/>
        <v>1330000</v>
      </c>
      <c r="H4" s="14">
        <f t="shared" si="1"/>
        <v>287535.69046967675</v>
      </c>
      <c r="I4" s="14">
        <f t="shared" si="2"/>
        <v>1042464.3095303233</v>
      </c>
    </row>
    <row r="5" spans="1:9" ht="15.75" customHeight="1" x14ac:dyDescent="0.25">
      <c r="A5" s="7">
        <f t="shared" si="3"/>
        <v>2024</v>
      </c>
      <c r="B5" s="52">
        <v>268710.20980000001</v>
      </c>
      <c r="C5" s="53">
        <v>492000</v>
      </c>
      <c r="D5" s="53">
        <v>790000</v>
      </c>
      <c r="E5" s="53">
        <v>43000</v>
      </c>
      <c r="F5" s="53">
        <v>37000</v>
      </c>
      <c r="G5" s="14">
        <f t="shared" si="0"/>
        <v>1362000</v>
      </c>
      <c r="H5" s="14">
        <f t="shared" si="1"/>
        <v>288511.52779600094</v>
      </c>
      <c r="I5" s="14">
        <f t="shared" si="2"/>
        <v>1073488.4722039991</v>
      </c>
    </row>
    <row r="6" spans="1:9" ht="15.75" customHeight="1" x14ac:dyDescent="0.25">
      <c r="A6" s="7">
        <f t="shared" si="3"/>
        <v>2025</v>
      </c>
      <c r="B6" s="52">
        <v>269485.63199999998</v>
      </c>
      <c r="C6" s="53">
        <v>500000</v>
      </c>
      <c r="D6" s="53">
        <v>810000</v>
      </c>
      <c r="E6" s="53">
        <v>43000</v>
      </c>
      <c r="F6" s="53">
        <v>37000</v>
      </c>
      <c r="G6" s="14">
        <f t="shared" si="0"/>
        <v>1390000</v>
      </c>
      <c r="H6" s="14">
        <f t="shared" si="1"/>
        <v>289344.09103866835</v>
      </c>
      <c r="I6" s="14">
        <f t="shared" si="2"/>
        <v>1100655.9089613317</v>
      </c>
    </row>
    <row r="7" spans="1:9" ht="15.75" customHeight="1" x14ac:dyDescent="0.25">
      <c r="A7" s="7">
        <f t="shared" si="3"/>
        <v>2026</v>
      </c>
      <c r="B7" s="52">
        <v>270491.43</v>
      </c>
      <c r="C7" s="53">
        <v>507000</v>
      </c>
      <c r="D7" s="53">
        <v>832000</v>
      </c>
      <c r="E7" s="53">
        <v>44000</v>
      </c>
      <c r="F7" s="53">
        <v>37000</v>
      </c>
      <c r="G7" s="14">
        <f t="shared" si="0"/>
        <v>1420000</v>
      </c>
      <c r="H7" s="14">
        <f t="shared" si="1"/>
        <v>290424.00652773795</v>
      </c>
      <c r="I7" s="14">
        <f t="shared" si="2"/>
        <v>1129575.9934722621</v>
      </c>
    </row>
    <row r="8" spans="1:9" ht="15.75" customHeight="1" x14ac:dyDescent="0.25">
      <c r="A8" s="7">
        <f t="shared" si="3"/>
        <v>2027</v>
      </c>
      <c r="B8" s="52">
        <v>271374.48200000002</v>
      </c>
      <c r="C8" s="53">
        <v>512000</v>
      </c>
      <c r="D8" s="53">
        <v>853000</v>
      </c>
      <c r="E8" s="53">
        <v>46000</v>
      </c>
      <c r="F8" s="53">
        <v>37000</v>
      </c>
      <c r="G8" s="14">
        <f t="shared" si="0"/>
        <v>1448000</v>
      </c>
      <c r="H8" s="14">
        <f t="shared" si="1"/>
        <v>291372.13083545573</v>
      </c>
      <c r="I8" s="14">
        <f t="shared" si="2"/>
        <v>1156627.8691645442</v>
      </c>
    </row>
    <row r="9" spans="1:9" ht="15.75" customHeight="1" x14ac:dyDescent="0.25">
      <c r="A9" s="7">
        <f t="shared" si="3"/>
        <v>2028</v>
      </c>
      <c r="B9" s="52">
        <v>272104.42</v>
      </c>
      <c r="C9" s="53">
        <v>516000</v>
      </c>
      <c r="D9" s="53">
        <v>874000</v>
      </c>
      <c r="E9" s="53">
        <v>46000</v>
      </c>
      <c r="F9" s="53">
        <v>38000</v>
      </c>
      <c r="G9" s="14">
        <f t="shared" si="0"/>
        <v>1474000</v>
      </c>
      <c r="H9" s="14">
        <f t="shared" si="1"/>
        <v>292155.85813682288</v>
      </c>
      <c r="I9" s="14">
        <f t="shared" si="2"/>
        <v>1181844.1418631771</v>
      </c>
    </row>
    <row r="10" spans="1:9" ht="15.75" customHeight="1" x14ac:dyDescent="0.25">
      <c r="A10" s="7">
        <f t="shared" si="3"/>
        <v>2029</v>
      </c>
      <c r="B10" s="52">
        <v>272709.8</v>
      </c>
      <c r="C10" s="53">
        <v>520000</v>
      </c>
      <c r="D10" s="53">
        <v>894000</v>
      </c>
      <c r="E10" s="53">
        <v>48000</v>
      </c>
      <c r="F10" s="53">
        <v>38000</v>
      </c>
      <c r="G10" s="14">
        <f t="shared" si="0"/>
        <v>1500000</v>
      </c>
      <c r="H10" s="14">
        <f t="shared" si="1"/>
        <v>292805.84873013577</v>
      </c>
      <c r="I10" s="14">
        <f t="shared" si="2"/>
        <v>1207194.1512698643</v>
      </c>
    </row>
    <row r="11" spans="1:9" ht="15.75" customHeight="1" x14ac:dyDescent="0.25">
      <c r="A11" s="7">
        <f t="shared" si="3"/>
        <v>2030</v>
      </c>
      <c r="B11" s="52">
        <v>273161.15999999997</v>
      </c>
      <c r="C11" s="53">
        <v>525000</v>
      </c>
      <c r="D11" s="53">
        <v>912000</v>
      </c>
      <c r="E11" s="53">
        <v>49000</v>
      </c>
      <c r="F11" s="53">
        <v>38000</v>
      </c>
      <c r="G11" s="14">
        <f t="shared" si="0"/>
        <v>1524000</v>
      </c>
      <c r="H11" s="14">
        <f t="shared" si="1"/>
        <v>293290.46955374692</v>
      </c>
      <c r="I11" s="14">
        <f t="shared" si="2"/>
        <v>1230709.530446253</v>
      </c>
    </row>
    <row r="12" spans="1:9" ht="15.75" customHeight="1" x14ac:dyDescent="0.25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5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5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5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5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5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5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5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5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5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5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5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5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5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5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5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5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5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5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5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5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5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5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5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5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5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5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5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5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4140625" defaultRowHeight="15.75" customHeight="1" x14ac:dyDescent="0.25"/>
  <cols>
    <col min="1" max="1" width="16.109375" style="3" customWidth="1"/>
    <col min="2" max="2" width="31.33203125" style="3" customWidth="1"/>
    <col min="3" max="8" width="13" style="3" customWidth="1"/>
  </cols>
  <sheetData>
    <row r="1" spans="1:8" ht="27.75" customHeight="1" x14ac:dyDescent="0.25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5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5">
      <c r="B3" s="16" t="s">
        <v>68</v>
      </c>
      <c r="C3" s="54">
        <v>6.0455060560639087E-3</v>
      </c>
    </row>
    <row r="4" spans="1:8" ht="15.75" customHeight="1" x14ac:dyDescent="0.25">
      <c r="B4" s="16" t="s">
        <v>69</v>
      </c>
      <c r="C4" s="54">
        <v>0.18647248594266511</v>
      </c>
    </row>
    <row r="5" spans="1:8" ht="15.75" customHeight="1" x14ac:dyDescent="0.25">
      <c r="B5" s="16" t="s">
        <v>70</v>
      </c>
      <c r="C5" s="54">
        <v>6.7726968112574018E-2</v>
      </c>
    </row>
    <row r="6" spans="1:8" ht="15.75" customHeight="1" x14ac:dyDescent="0.25">
      <c r="B6" s="16" t="s">
        <v>71</v>
      </c>
      <c r="C6" s="54">
        <v>0.29658106129734452</v>
      </c>
    </row>
    <row r="7" spans="1:8" ht="15.75" customHeight="1" x14ac:dyDescent="0.25">
      <c r="B7" s="16" t="s">
        <v>72</v>
      </c>
      <c r="C7" s="54">
        <v>0.28922160623902482</v>
      </c>
    </row>
    <row r="8" spans="1:8" ht="15.75" customHeight="1" x14ac:dyDescent="0.25">
      <c r="B8" s="16" t="s">
        <v>73</v>
      </c>
      <c r="C8" s="54">
        <v>9.2014529665193825E-3</v>
      </c>
    </row>
    <row r="9" spans="1:8" ht="15.75" customHeight="1" x14ac:dyDescent="0.25">
      <c r="B9" s="16" t="s">
        <v>74</v>
      </c>
      <c r="C9" s="54">
        <v>5.7863358900644438E-2</v>
      </c>
    </row>
    <row r="10" spans="1:8" ht="15.75" customHeight="1" x14ac:dyDescent="0.25">
      <c r="B10" s="16" t="s">
        <v>75</v>
      </c>
      <c r="C10" s="54">
        <v>8.6887560485163787E-2</v>
      </c>
    </row>
    <row r="11" spans="1:8" ht="15.75" customHeight="1" x14ac:dyDescent="0.25">
      <c r="B11" s="24" t="s">
        <v>30</v>
      </c>
      <c r="C11" s="50">
        <f>SUM(C3:C10)</f>
        <v>1</v>
      </c>
      <c r="G11" s="16"/>
      <c r="H11" s="16"/>
    </row>
    <row r="12" spans="1:8" ht="15.75" customHeight="1" x14ac:dyDescent="0.25">
      <c r="B12" s="24"/>
      <c r="C12" s="16"/>
      <c r="D12" s="16"/>
      <c r="E12" s="16"/>
      <c r="F12" s="16"/>
      <c r="G12" s="16"/>
      <c r="H12" s="16"/>
    </row>
    <row r="13" spans="1:8" ht="15.75" customHeight="1" x14ac:dyDescent="0.25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5">
      <c r="B14" s="16" t="s">
        <v>81</v>
      </c>
      <c r="C14" s="54">
        <v>0.12121124396190611</v>
      </c>
      <c r="D14" s="54">
        <v>0.12121124396190611</v>
      </c>
      <c r="E14" s="54">
        <v>0.12121124396190611</v>
      </c>
      <c r="F14" s="54">
        <v>0.12121124396190611</v>
      </c>
    </row>
    <row r="15" spans="1:8" ht="15.75" customHeight="1" x14ac:dyDescent="0.25">
      <c r="B15" s="16" t="s">
        <v>82</v>
      </c>
      <c r="C15" s="54">
        <v>0.15593698626379371</v>
      </c>
      <c r="D15" s="54">
        <v>0.15593698626379371</v>
      </c>
      <c r="E15" s="54">
        <v>0.15593698626379371</v>
      </c>
      <c r="F15" s="54">
        <v>0.15593698626379371</v>
      </c>
    </row>
    <row r="16" spans="1:8" ht="15.75" customHeight="1" x14ac:dyDescent="0.25">
      <c r="B16" s="16" t="s">
        <v>83</v>
      </c>
      <c r="C16" s="54">
        <v>1.765832390516741E-2</v>
      </c>
      <c r="D16" s="54">
        <v>1.765832390516741E-2</v>
      </c>
      <c r="E16" s="54">
        <v>1.765832390516741E-2</v>
      </c>
      <c r="F16" s="54">
        <v>1.765832390516741E-2</v>
      </c>
    </row>
    <row r="17" spans="1:8" ht="15.75" customHeight="1" x14ac:dyDescent="0.25">
      <c r="B17" s="16" t="s">
        <v>84</v>
      </c>
      <c r="C17" s="54">
        <v>3.4712090631850829E-3</v>
      </c>
      <c r="D17" s="54">
        <v>3.4712090631850829E-3</v>
      </c>
      <c r="E17" s="54">
        <v>3.4712090631850829E-3</v>
      </c>
      <c r="F17" s="54">
        <v>3.4712090631850829E-3</v>
      </c>
    </row>
    <row r="18" spans="1:8" ht="15.75" customHeight="1" x14ac:dyDescent="0.25">
      <c r="B18" s="16" t="s">
        <v>85</v>
      </c>
      <c r="C18" s="54">
        <v>0.31443139343139959</v>
      </c>
      <c r="D18" s="54">
        <v>0.31443139343139959</v>
      </c>
      <c r="E18" s="54">
        <v>0.31443139343139959</v>
      </c>
      <c r="F18" s="54">
        <v>0.31443139343139959</v>
      </c>
    </row>
    <row r="19" spans="1:8" ht="15.75" customHeight="1" x14ac:dyDescent="0.25">
      <c r="B19" s="16" t="s">
        <v>86</v>
      </c>
      <c r="C19" s="54">
        <v>1.153131035851577E-2</v>
      </c>
      <c r="D19" s="54">
        <v>1.153131035851577E-2</v>
      </c>
      <c r="E19" s="54">
        <v>1.153131035851577E-2</v>
      </c>
      <c r="F19" s="54">
        <v>1.153131035851577E-2</v>
      </c>
    </row>
    <row r="20" spans="1:8" ht="15.75" customHeight="1" x14ac:dyDescent="0.25">
      <c r="B20" s="16" t="s">
        <v>87</v>
      </c>
      <c r="C20" s="54">
        <v>4.728256748594286E-2</v>
      </c>
      <c r="D20" s="54">
        <v>4.728256748594286E-2</v>
      </c>
      <c r="E20" s="54">
        <v>4.728256748594286E-2</v>
      </c>
      <c r="F20" s="54">
        <v>4.728256748594286E-2</v>
      </c>
    </row>
    <row r="21" spans="1:8" ht="15.75" customHeight="1" x14ac:dyDescent="0.25">
      <c r="B21" s="16" t="s">
        <v>88</v>
      </c>
      <c r="C21" s="54">
        <v>6.6605656863071322E-2</v>
      </c>
      <c r="D21" s="54">
        <v>6.6605656863071322E-2</v>
      </c>
      <c r="E21" s="54">
        <v>6.6605656863071322E-2</v>
      </c>
      <c r="F21" s="54">
        <v>6.6605656863071322E-2</v>
      </c>
    </row>
    <row r="22" spans="1:8" ht="15.75" customHeight="1" x14ac:dyDescent="0.25">
      <c r="B22" s="16" t="s">
        <v>89</v>
      </c>
      <c r="C22" s="54">
        <v>0.26187130866701808</v>
      </c>
      <c r="D22" s="54">
        <v>0.26187130866701808</v>
      </c>
      <c r="E22" s="54">
        <v>0.26187130866701808</v>
      </c>
      <c r="F22" s="54">
        <v>0.26187130866701808</v>
      </c>
    </row>
    <row r="23" spans="1:8" ht="15.75" customHeight="1" x14ac:dyDescent="0.25">
      <c r="B23" s="24" t="s">
        <v>30</v>
      </c>
      <c r="C23" s="50">
        <f>SUM(C14:C22)</f>
        <v>0.99999999999999978</v>
      </c>
      <c r="D23" s="50">
        <f>SUM(D14:D22)</f>
        <v>0.99999999999999978</v>
      </c>
      <c r="E23" s="50">
        <f>SUM(E14:E22)</f>
        <v>0.99999999999999978</v>
      </c>
      <c r="F23" s="50">
        <f>SUM(F14:F22)</f>
        <v>0.99999999999999978</v>
      </c>
      <c r="G23" s="16"/>
      <c r="H23" s="16"/>
    </row>
    <row r="24" spans="1:8" ht="15.75" customHeight="1" x14ac:dyDescent="0.25">
      <c r="B24" s="24"/>
      <c r="C24" s="16"/>
      <c r="D24" s="16"/>
      <c r="E24" s="16"/>
      <c r="F24" s="16"/>
      <c r="G24" s="16"/>
      <c r="H24" s="16"/>
    </row>
    <row r="25" spans="1:8" ht="15.75" customHeight="1" x14ac:dyDescent="0.25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5">
      <c r="B26" s="16" t="s">
        <v>91</v>
      </c>
      <c r="C26" s="54">
        <v>8.8499999999999995E-2</v>
      </c>
    </row>
    <row r="27" spans="1:8" ht="15.75" customHeight="1" x14ac:dyDescent="0.25">
      <c r="B27" s="16" t="s">
        <v>92</v>
      </c>
      <c r="C27" s="54">
        <v>8.3999999999999995E-3</v>
      </c>
    </row>
    <row r="28" spans="1:8" ht="15.75" customHeight="1" x14ac:dyDescent="0.25">
      <c r="B28" s="16" t="s">
        <v>93</v>
      </c>
      <c r="C28" s="54">
        <v>0.15590000000000001</v>
      </c>
    </row>
    <row r="29" spans="1:8" ht="15.75" customHeight="1" x14ac:dyDescent="0.25">
      <c r="B29" s="16" t="s">
        <v>94</v>
      </c>
      <c r="C29" s="54">
        <v>0.16919999999999999</v>
      </c>
    </row>
    <row r="30" spans="1:8" ht="15.75" customHeight="1" x14ac:dyDescent="0.25">
      <c r="B30" s="16" t="s">
        <v>95</v>
      </c>
      <c r="C30" s="54">
        <v>0.10589999999999999</v>
      </c>
    </row>
    <row r="31" spans="1:8" ht="15.75" customHeight="1" x14ac:dyDescent="0.25">
      <c r="B31" s="16" t="s">
        <v>96</v>
      </c>
      <c r="C31" s="54">
        <v>0.111</v>
      </c>
    </row>
    <row r="32" spans="1:8" ht="15.75" customHeight="1" x14ac:dyDescent="0.25">
      <c r="B32" s="16" t="s">
        <v>97</v>
      </c>
      <c r="C32" s="54">
        <v>1.8499999999999999E-2</v>
      </c>
    </row>
    <row r="33" spans="2:3" ht="15.75" customHeight="1" x14ac:dyDescent="0.25">
      <c r="B33" s="16" t="s">
        <v>98</v>
      </c>
      <c r="C33" s="54">
        <v>8.4399999999999989E-2</v>
      </c>
    </row>
    <row r="34" spans="2:3" ht="15.75" customHeight="1" x14ac:dyDescent="0.25">
      <c r="B34" s="16" t="s">
        <v>99</v>
      </c>
      <c r="C34" s="54">
        <v>0.25819999999552973</v>
      </c>
    </row>
    <row r="35" spans="2:3" ht="15.75" customHeight="1" x14ac:dyDescent="0.25">
      <c r="B35" s="24" t="s">
        <v>30</v>
      </c>
      <c r="C35" s="50">
        <f>SUM(C26:C34)</f>
        <v>0.9999999999955298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4140625" defaultRowHeight="15.75" customHeight="1" x14ac:dyDescent="0.25"/>
  <cols>
    <col min="1" max="1" width="31.44140625" style="3" customWidth="1"/>
    <col min="2" max="2" width="24" style="3" customWidth="1"/>
  </cols>
  <sheetData>
    <row r="1" spans="1:15" ht="36" customHeight="1" x14ac:dyDescent="0.25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5">
      <c r="A2" s="4" t="s">
        <v>101</v>
      </c>
      <c r="B2" s="7" t="s">
        <v>102</v>
      </c>
      <c r="C2" s="55">
        <v>0.56813765999999999</v>
      </c>
      <c r="D2" s="55">
        <v>0.56813765999999999</v>
      </c>
      <c r="E2" s="55">
        <v>0.57360531000000003</v>
      </c>
      <c r="F2" s="55">
        <v>0.38177192999999998</v>
      </c>
      <c r="G2" s="55">
        <v>0.35625645</v>
      </c>
    </row>
    <row r="3" spans="1:15" ht="15.75" customHeight="1" x14ac:dyDescent="0.25">
      <c r="B3" s="7" t="s">
        <v>103</v>
      </c>
      <c r="C3" s="55">
        <v>0.23863892</v>
      </c>
      <c r="D3" s="55">
        <v>0.23863892</v>
      </c>
      <c r="E3" s="55">
        <v>0.24953753000000001</v>
      </c>
      <c r="F3" s="55">
        <v>0.30803250999999998</v>
      </c>
      <c r="G3" s="55">
        <v>0.31229887000000001</v>
      </c>
    </row>
    <row r="4" spans="1:15" ht="15.75" customHeight="1" x14ac:dyDescent="0.25">
      <c r="B4" s="7" t="s">
        <v>104</v>
      </c>
      <c r="C4" s="56">
        <v>0.11520275000000001</v>
      </c>
      <c r="D4" s="56">
        <v>0.11520275000000001</v>
      </c>
      <c r="E4" s="56">
        <v>0.10485664</v>
      </c>
      <c r="F4" s="56">
        <v>0.21218335999999999</v>
      </c>
      <c r="G4" s="56">
        <v>0.21331613999999999</v>
      </c>
    </row>
    <row r="5" spans="1:15" ht="15.75" customHeight="1" x14ac:dyDescent="0.25">
      <c r="B5" s="7" t="s">
        <v>105</v>
      </c>
      <c r="C5" s="56">
        <v>7.8020663000000004E-2</v>
      </c>
      <c r="D5" s="56">
        <v>7.8020663000000004E-2</v>
      </c>
      <c r="E5" s="56">
        <v>7.2000504000000007E-2</v>
      </c>
      <c r="F5" s="56">
        <v>9.8012217999999998E-2</v>
      </c>
      <c r="G5" s="56">
        <v>0.11812854</v>
      </c>
    </row>
    <row r="6" spans="1:15" ht="15.75" customHeight="1" x14ac:dyDescent="0.25">
      <c r="B6" s="25"/>
      <c r="C6" s="21"/>
      <c r="D6" s="21"/>
      <c r="E6" s="21"/>
      <c r="F6" s="21"/>
      <c r="G6" s="21"/>
    </row>
    <row r="7" spans="1:15" ht="15.75" customHeight="1" x14ac:dyDescent="0.25">
      <c r="B7" s="25"/>
      <c r="C7" s="21"/>
      <c r="D7" s="21"/>
      <c r="E7" s="21"/>
      <c r="F7" s="21"/>
      <c r="G7" s="21"/>
    </row>
    <row r="8" spans="1:15" ht="15.75" customHeight="1" x14ac:dyDescent="0.25">
      <c r="A8" s="4" t="s">
        <v>106</v>
      </c>
      <c r="B8" s="7" t="s">
        <v>107</v>
      </c>
      <c r="C8" s="55">
        <v>0.86136626999999999</v>
      </c>
      <c r="D8" s="55">
        <v>0.86136626999999999</v>
      </c>
      <c r="E8" s="55">
        <v>0.69031181000000008</v>
      </c>
      <c r="F8" s="55">
        <v>0.72398467999999994</v>
      </c>
      <c r="G8" s="55">
        <v>0.83261627000000005</v>
      </c>
    </row>
    <row r="9" spans="1:15" ht="15.75" customHeight="1" x14ac:dyDescent="0.25">
      <c r="B9" s="7" t="s">
        <v>108</v>
      </c>
      <c r="C9" s="55">
        <v>9.7225237000000006E-2</v>
      </c>
      <c r="D9" s="55">
        <v>9.7225237000000006E-2</v>
      </c>
      <c r="E9" s="55">
        <v>0.20272896000000001</v>
      </c>
      <c r="F9" s="55">
        <v>0.18590397</v>
      </c>
      <c r="G9" s="55">
        <v>0.13251452</v>
      </c>
    </row>
    <row r="10" spans="1:15" ht="15.75" customHeight="1" x14ac:dyDescent="0.25">
      <c r="B10" s="7" t="s">
        <v>109</v>
      </c>
      <c r="C10" s="56">
        <v>2.9878476000000001E-2</v>
      </c>
      <c r="D10" s="56">
        <v>2.9878476000000001E-2</v>
      </c>
      <c r="E10" s="56">
        <v>9.4400481999999994E-2</v>
      </c>
      <c r="F10" s="56">
        <v>7.3202767000000002E-2</v>
      </c>
      <c r="G10" s="56">
        <v>2.9323311000000001E-2</v>
      </c>
    </row>
    <row r="11" spans="1:15" ht="15.75" customHeight="1" x14ac:dyDescent="0.25">
      <c r="B11" s="7" t="s">
        <v>110</v>
      </c>
      <c r="C11" s="56">
        <v>1.1530017E-2</v>
      </c>
      <c r="D11" s="56">
        <v>1.1530017E-2</v>
      </c>
      <c r="E11" s="56">
        <v>1.2558738E-2</v>
      </c>
      <c r="F11" s="56">
        <v>1.6908519E-2</v>
      </c>
      <c r="G11" s="56">
        <v>5.5458748000000004E-3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5">
      <c r="B14" s="28" t="s">
        <v>116</v>
      </c>
      <c r="C14" s="57">
        <v>0.90340710200000007</v>
      </c>
      <c r="D14" s="57">
        <v>0.89947195748300002</v>
      </c>
      <c r="E14" s="57">
        <v>0.89947195748300002</v>
      </c>
      <c r="F14" s="57">
        <v>0.83211495658599999</v>
      </c>
      <c r="G14" s="57">
        <v>0.83211495658599999</v>
      </c>
      <c r="H14" s="58">
        <v>0.55899999999999994</v>
      </c>
      <c r="I14" s="58">
        <v>0.55899999999999994</v>
      </c>
      <c r="J14" s="58">
        <v>0.55899999999999994</v>
      </c>
      <c r="K14" s="58">
        <v>0.55899999999999994</v>
      </c>
      <c r="L14" s="58">
        <v>0.40678715088900008</v>
      </c>
      <c r="M14" s="58">
        <v>0.36914590792099999</v>
      </c>
      <c r="N14" s="58">
        <v>0.34164487816799999</v>
      </c>
      <c r="O14" s="58">
        <v>0.33954223279349999</v>
      </c>
    </row>
    <row r="15" spans="1:15" ht="15.75" customHeight="1" x14ac:dyDescent="0.25">
      <c r="B15" s="28" t="s">
        <v>117</v>
      </c>
      <c r="C15" s="55">
        <f t="shared" ref="C15:O15" si="0">iron_deficiency_anaemia*C14</f>
        <v>0.37320534378632575</v>
      </c>
      <c r="D15" s="55">
        <f t="shared" si="0"/>
        <v>0.37157970130569368</v>
      </c>
      <c r="E15" s="55">
        <f t="shared" si="0"/>
        <v>0.37157970130569368</v>
      </c>
      <c r="F15" s="55">
        <f t="shared" si="0"/>
        <v>0.34375393746065724</v>
      </c>
      <c r="G15" s="55">
        <f t="shared" si="0"/>
        <v>0.34375393746065724</v>
      </c>
      <c r="H15" s="55">
        <f t="shared" si="0"/>
        <v>0.23092776967847664</v>
      </c>
      <c r="I15" s="55">
        <f t="shared" si="0"/>
        <v>0.23092776967847664</v>
      </c>
      <c r="J15" s="55">
        <f t="shared" si="0"/>
        <v>0.23092776967847664</v>
      </c>
      <c r="K15" s="55">
        <f t="shared" si="0"/>
        <v>0.23092776967847664</v>
      </c>
      <c r="L15" s="55">
        <f t="shared" si="0"/>
        <v>0.16804731572210865</v>
      </c>
      <c r="M15" s="55">
        <f t="shared" si="0"/>
        <v>0.15249739034370813</v>
      </c>
      <c r="N15" s="55">
        <f t="shared" si="0"/>
        <v>0.14113647537998411</v>
      </c>
      <c r="O15" s="55">
        <f t="shared" si="0"/>
        <v>0.14026785425877114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8671875" defaultRowHeight="13.2" x14ac:dyDescent="0.25"/>
  <cols>
    <col min="1" max="1" width="28.88671875" style="3" customWidth="1"/>
    <col min="2" max="7" width="13.44140625" style="3" customWidth="1"/>
  </cols>
  <sheetData>
    <row r="1" spans="1:7" ht="40.5" customHeight="1" x14ac:dyDescent="0.25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5">
      <c r="A2" s="4" t="s">
        <v>118</v>
      </c>
      <c r="B2" s="98" t="s">
        <v>119</v>
      </c>
      <c r="C2" s="56">
        <v>0.77430786130000007</v>
      </c>
      <c r="D2" s="56">
        <v>0.49616221999999999</v>
      </c>
      <c r="E2" s="56">
        <v>0</v>
      </c>
      <c r="F2" s="56">
        <v>0</v>
      </c>
      <c r="G2" s="56">
        <v>0</v>
      </c>
    </row>
    <row r="3" spans="1:7" x14ac:dyDescent="0.25">
      <c r="B3" s="98" t="s">
        <v>120</v>
      </c>
      <c r="C3" s="56">
        <v>0.15446283</v>
      </c>
      <c r="D3" s="56">
        <v>0.24405354000000001</v>
      </c>
      <c r="E3" s="56">
        <v>0</v>
      </c>
      <c r="F3" s="56">
        <v>0</v>
      </c>
      <c r="G3" s="56">
        <v>0</v>
      </c>
    </row>
    <row r="4" spans="1:7" x14ac:dyDescent="0.25">
      <c r="B4" s="98" t="s">
        <v>121</v>
      </c>
      <c r="C4" s="56">
        <v>3.8687203000000003E-2</v>
      </c>
      <c r="D4" s="56">
        <v>0.24085190000000001</v>
      </c>
      <c r="E4" s="56">
        <v>0.94867742061615001</v>
      </c>
      <c r="F4" s="56">
        <v>0.63494080305099498</v>
      </c>
      <c r="G4" s="56">
        <v>0</v>
      </c>
    </row>
    <row r="5" spans="1:7" x14ac:dyDescent="0.25">
      <c r="B5" s="98" t="s">
        <v>122</v>
      </c>
      <c r="C5" s="55">
        <v>3.2542105699999997E-2</v>
      </c>
      <c r="D5" s="55">
        <v>1.89323400000001E-2</v>
      </c>
      <c r="E5" s="55">
        <v>5.1322579383849973E-2</v>
      </c>
      <c r="F5" s="55">
        <v>0.36505919694900502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style="3" customWidth="1"/>
    <col min="2" max="2" width="29.44140625" style="3" customWidth="1"/>
  </cols>
  <sheetData>
    <row r="1" spans="1:11" x14ac:dyDescent="0.25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5"/>
    </row>
    <row r="4" spans="1:11" x14ac:dyDescent="0.25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B5" s="25"/>
    </row>
    <row r="6" spans="1:11" x14ac:dyDescent="0.25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5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5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3.2" x14ac:dyDescent="0.25"/>
  <cols>
    <col min="1" max="1" width="36.44140625" style="3" bestFit="1" customWidth="1"/>
    <col min="2" max="2" width="15.33203125" style="3" customWidth="1"/>
  </cols>
  <sheetData>
    <row r="1" spans="1:2" x14ac:dyDescent="0.25">
      <c r="A1" s="39" t="s">
        <v>135</v>
      </c>
      <c r="B1" s="39" t="s">
        <v>136</v>
      </c>
    </row>
    <row r="2" spans="1:2" x14ac:dyDescent="0.25">
      <c r="A2" s="113" t="s">
        <v>137</v>
      </c>
      <c r="B2" s="114">
        <v>10</v>
      </c>
    </row>
    <row r="3" spans="1:2" x14ac:dyDescent="0.25">
      <c r="A3" s="113" t="s">
        <v>138</v>
      </c>
      <c r="B3" s="114">
        <v>10</v>
      </c>
    </row>
    <row r="4" spans="1:2" x14ac:dyDescent="0.25">
      <c r="A4" s="113" t="s">
        <v>139</v>
      </c>
      <c r="B4" s="114">
        <v>10</v>
      </c>
    </row>
    <row r="5" spans="1:2" x14ac:dyDescent="0.25">
      <c r="A5" s="113" t="s">
        <v>140</v>
      </c>
      <c r="B5" s="114">
        <v>10</v>
      </c>
    </row>
    <row r="6" spans="1:2" x14ac:dyDescent="0.25">
      <c r="A6" s="113" t="s">
        <v>141</v>
      </c>
      <c r="B6" s="114">
        <v>10</v>
      </c>
    </row>
    <row r="7" spans="1:2" x14ac:dyDescent="0.25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1" customWidth="1"/>
    <col min="2" max="2" width="19.109375" style="81" customWidth="1"/>
    <col min="3" max="3" width="13.44140625" style="81" customWidth="1"/>
    <col min="4" max="4" width="11.44140625" style="81" customWidth="1"/>
    <col min="5" max="16384" width="11.44140625" style="81"/>
  </cols>
  <sheetData>
    <row r="1" spans="1:5" x14ac:dyDescent="0.25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5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5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5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5">
      <c r="B5" s="31" t="s">
        <v>78</v>
      </c>
      <c r="C5" s="59"/>
      <c r="D5" s="59"/>
      <c r="E5" s="38" t="str">
        <f>IF(E$7="","",E$7)</f>
        <v/>
      </c>
    </row>
    <row r="6" spans="1:5" x14ac:dyDescent="0.25">
      <c r="B6" s="31" t="s">
        <v>79</v>
      </c>
      <c r="C6" s="59"/>
      <c r="D6" s="59"/>
      <c r="E6" s="38" t="str">
        <f>IF(E$7="","",E$7)</f>
        <v/>
      </c>
    </row>
    <row r="7" spans="1:5" x14ac:dyDescent="0.25">
      <c r="B7" s="31" t="s">
        <v>150</v>
      </c>
      <c r="C7" s="30"/>
      <c r="D7" s="29"/>
      <c r="E7" s="59"/>
    </row>
    <row r="9" spans="1:5" x14ac:dyDescent="0.25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5">
      <c r="B10" s="31" t="s">
        <v>67</v>
      </c>
      <c r="C10" s="59"/>
      <c r="D10" s="59"/>
      <c r="E10" s="38" t="str">
        <f>IF(E$7="","",E$7)</f>
        <v/>
      </c>
    </row>
    <row r="11" spans="1:5" x14ac:dyDescent="0.25">
      <c r="B11" s="31" t="s">
        <v>77</v>
      </c>
      <c r="C11" s="59"/>
      <c r="D11" s="59"/>
      <c r="E11" s="38" t="str">
        <f>IF(E$7="","",E$7)</f>
        <v/>
      </c>
    </row>
    <row r="12" spans="1:5" x14ac:dyDescent="0.25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5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5">
      <c r="B14" s="31" t="s">
        <v>150</v>
      </c>
      <c r="C14" s="30"/>
      <c r="D14" s="29"/>
      <c r="E14" s="59"/>
    </row>
    <row r="16" spans="1:5" x14ac:dyDescent="0.25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5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5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5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5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5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style="3" customWidth="1"/>
    <col min="2" max="2" width="15.44140625" style="3" customWidth="1"/>
    <col min="3" max="3" width="17.44140625" style="3" customWidth="1"/>
    <col min="4" max="4" width="12.88671875" style="3" customWidth="1"/>
  </cols>
  <sheetData>
    <row r="1" spans="1:4" x14ac:dyDescent="0.25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5">
      <c r="A2" s="41" t="s">
        <v>156</v>
      </c>
      <c r="B2" s="31" t="s">
        <v>157</v>
      </c>
      <c r="C2" s="31" t="s">
        <v>158</v>
      </c>
      <c r="D2" s="59"/>
    </row>
    <row r="3" spans="1:4" x14ac:dyDescent="0.25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4140625" defaultRowHeight="15.75" customHeight="1" x14ac:dyDescent="0.25"/>
  <cols>
    <col min="1" max="1" width="56" style="36" customWidth="1"/>
    <col min="2" max="2" width="20" style="81" customWidth="1"/>
    <col min="3" max="3" width="20.44140625" style="81" customWidth="1"/>
    <col min="4" max="4" width="20.109375" style="81" customWidth="1"/>
    <col min="5" max="5" width="36.33203125" style="81" bestFit="1" customWidth="1"/>
    <col min="6" max="6" width="23" style="81" bestFit="1" customWidth="1"/>
    <col min="7" max="7" width="22.6640625" style="81" bestFit="1" customWidth="1"/>
    <col min="8" max="8" width="14.44140625" style="81" customWidth="1"/>
    <col min="9" max="16384" width="14.44140625" style="81"/>
  </cols>
  <sheetData>
    <row r="1" spans="1:7" ht="26.4" customHeight="1" x14ac:dyDescent="0.25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5">
      <c r="A2" s="36" t="s">
        <v>166</v>
      </c>
      <c r="B2" s="115">
        <v>0.42381204547116103</v>
      </c>
      <c r="C2" s="115">
        <v>0.95</v>
      </c>
      <c r="D2" s="116">
        <v>34.819261433026043</v>
      </c>
      <c r="E2" s="60" t="s">
        <v>167</v>
      </c>
      <c r="F2" s="115">
        <v>1</v>
      </c>
      <c r="G2" s="115">
        <v>1</v>
      </c>
    </row>
    <row r="3" spans="1:7" ht="15.75" customHeight="1" x14ac:dyDescent="0.25">
      <c r="A3" s="36" t="s">
        <v>168</v>
      </c>
      <c r="B3" s="115">
        <v>0</v>
      </c>
      <c r="C3" s="115">
        <v>0.95</v>
      </c>
      <c r="D3" s="116">
        <v>47.362947514627443</v>
      </c>
      <c r="E3" s="60" t="s">
        <v>167</v>
      </c>
      <c r="F3" s="115">
        <v>1</v>
      </c>
      <c r="G3" s="115">
        <v>1</v>
      </c>
    </row>
    <row r="4" spans="1:7" ht="15.75" customHeight="1" x14ac:dyDescent="0.25">
      <c r="A4" s="36" t="s">
        <v>169</v>
      </c>
      <c r="B4" s="115">
        <v>0</v>
      </c>
      <c r="C4" s="115">
        <v>0.95</v>
      </c>
      <c r="D4" s="116">
        <v>50.52045111826412</v>
      </c>
      <c r="E4" s="60" t="s">
        <v>167</v>
      </c>
      <c r="F4" s="115">
        <v>1</v>
      </c>
      <c r="G4" s="115">
        <v>1</v>
      </c>
    </row>
    <row r="5" spans="1:7" ht="15.75" customHeight="1" x14ac:dyDescent="0.25">
      <c r="A5" s="36" t="s">
        <v>170</v>
      </c>
      <c r="B5" s="115">
        <v>0</v>
      </c>
      <c r="C5" s="115">
        <v>0.95</v>
      </c>
      <c r="D5" s="116">
        <v>0.15284496024175781</v>
      </c>
      <c r="E5" s="60" t="s">
        <v>167</v>
      </c>
      <c r="F5" s="115">
        <v>1</v>
      </c>
      <c r="G5" s="115">
        <v>1</v>
      </c>
    </row>
    <row r="6" spans="1:7" ht="15.75" customHeight="1" x14ac:dyDescent="0.25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5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5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5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5">
      <c r="A10" s="85" t="s">
        <v>175</v>
      </c>
      <c r="B10" s="115">
        <v>0</v>
      </c>
      <c r="C10" s="115">
        <v>0.95</v>
      </c>
      <c r="D10" s="116">
        <v>15.022196845122521</v>
      </c>
      <c r="E10" s="60" t="s">
        <v>167</v>
      </c>
      <c r="F10" s="115">
        <v>1</v>
      </c>
      <c r="G10" s="115">
        <v>1</v>
      </c>
    </row>
    <row r="11" spans="1:7" ht="15.75" customHeight="1" x14ac:dyDescent="0.25">
      <c r="A11" s="85" t="s">
        <v>176</v>
      </c>
      <c r="B11" s="115">
        <v>0</v>
      </c>
      <c r="C11" s="115">
        <v>0.95</v>
      </c>
      <c r="D11" s="116">
        <v>15.022196845122521</v>
      </c>
      <c r="E11" s="60" t="s">
        <v>167</v>
      </c>
      <c r="F11" s="115">
        <v>1</v>
      </c>
      <c r="G11" s="115">
        <v>1</v>
      </c>
    </row>
    <row r="12" spans="1:7" ht="15.75" customHeight="1" x14ac:dyDescent="0.25">
      <c r="A12" s="85" t="s">
        <v>177</v>
      </c>
      <c r="B12" s="115">
        <v>0</v>
      </c>
      <c r="C12" s="115">
        <v>0.95</v>
      </c>
      <c r="D12" s="116">
        <v>15.022196845122521</v>
      </c>
      <c r="E12" s="60" t="s">
        <v>167</v>
      </c>
      <c r="F12" s="115">
        <v>1</v>
      </c>
      <c r="G12" s="115">
        <v>1</v>
      </c>
    </row>
    <row r="13" spans="1:7" ht="15.75" customHeight="1" x14ac:dyDescent="0.25">
      <c r="A13" s="85" t="s">
        <v>178</v>
      </c>
      <c r="B13" s="115">
        <v>0</v>
      </c>
      <c r="C13" s="115">
        <v>0.95</v>
      </c>
      <c r="D13" s="116">
        <v>15.022196845122521</v>
      </c>
      <c r="E13" s="60" t="s">
        <v>167</v>
      </c>
      <c r="F13" s="115">
        <v>1</v>
      </c>
      <c r="G13" s="115">
        <v>1</v>
      </c>
    </row>
    <row r="14" spans="1:7" ht="15.75" customHeight="1" x14ac:dyDescent="0.25">
      <c r="A14" s="7" t="s">
        <v>179</v>
      </c>
      <c r="B14" s="115">
        <v>0</v>
      </c>
      <c r="C14" s="115">
        <v>0.95</v>
      </c>
      <c r="D14" s="116">
        <v>15.022196845122521</v>
      </c>
      <c r="E14" s="60" t="s">
        <v>167</v>
      </c>
      <c r="F14" s="115">
        <v>1</v>
      </c>
      <c r="G14" s="115">
        <v>1</v>
      </c>
    </row>
    <row r="15" spans="1:7" ht="15.75" customHeight="1" x14ac:dyDescent="0.25">
      <c r="A15" s="7" t="s">
        <v>180</v>
      </c>
      <c r="B15" s="115">
        <v>0</v>
      </c>
      <c r="C15" s="115">
        <v>0.95</v>
      </c>
      <c r="D15" s="116">
        <v>15.022196845122521</v>
      </c>
      <c r="E15" s="60" t="s">
        <v>167</v>
      </c>
      <c r="F15" s="115">
        <v>1</v>
      </c>
      <c r="G15" s="115">
        <v>1</v>
      </c>
    </row>
    <row r="16" spans="1:7" ht="15.75" customHeight="1" x14ac:dyDescent="0.25">
      <c r="A16" s="36" t="s">
        <v>181</v>
      </c>
      <c r="B16" s="115">
        <v>0.73015304565429606</v>
      </c>
      <c r="C16" s="115">
        <v>0.95</v>
      </c>
      <c r="D16" s="116">
        <v>0.22477769467930861</v>
      </c>
      <c r="E16" s="60" t="s">
        <v>167</v>
      </c>
      <c r="F16" s="115">
        <v>1</v>
      </c>
      <c r="G16" s="115">
        <v>1</v>
      </c>
    </row>
    <row r="17" spans="1:7" ht="15.75" customHeight="1" x14ac:dyDescent="0.25">
      <c r="A17" s="36" t="s">
        <v>182</v>
      </c>
      <c r="B17" s="115">
        <v>0.103311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" customHeight="1" x14ac:dyDescent="0.25">
      <c r="A18" s="36" t="s">
        <v>148</v>
      </c>
      <c r="B18" s="115">
        <v>0.25069368359999999</v>
      </c>
      <c r="C18" s="115">
        <v>0.95</v>
      </c>
      <c r="D18" s="116">
        <v>1.2741986036609081</v>
      </c>
      <c r="E18" s="60" t="s">
        <v>167</v>
      </c>
      <c r="F18" s="115">
        <v>1</v>
      </c>
      <c r="G18" s="115">
        <v>1</v>
      </c>
    </row>
    <row r="19" spans="1:7" ht="15.75" customHeight="1" x14ac:dyDescent="0.25">
      <c r="A19" s="36" t="s">
        <v>151</v>
      </c>
      <c r="B19" s="115">
        <v>0.25069368359999999</v>
      </c>
      <c r="C19" s="115">
        <v>0.95</v>
      </c>
      <c r="D19" s="116">
        <v>1.2741986036609081</v>
      </c>
      <c r="E19" s="60" t="s">
        <v>167</v>
      </c>
      <c r="F19" s="115">
        <v>1</v>
      </c>
      <c r="G19" s="115">
        <v>1</v>
      </c>
    </row>
    <row r="20" spans="1:7" ht="15.75" customHeight="1" x14ac:dyDescent="0.25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5">
      <c r="A21" s="36" t="s">
        <v>183</v>
      </c>
      <c r="B21" s="115">
        <v>0.8341286469000001</v>
      </c>
      <c r="C21" s="115">
        <v>0.95</v>
      </c>
      <c r="D21" s="116">
        <v>1.617657643758611</v>
      </c>
      <c r="E21" s="60" t="s">
        <v>167</v>
      </c>
      <c r="F21" s="115">
        <v>1</v>
      </c>
      <c r="G21" s="115">
        <v>1</v>
      </c>
    </row>
    <row r="22" spans="1:7" ht="15.75" customHeight="1" x14ac:dyDescent="0.25">
      <c r="A22" s="36" t="s">
        <v>184</v>
      </c>
      <c r="B22" s="115">
        <v>0</v>
      </c>
      <c r="C22" s="115">
        <v>0.95</v>
      </c>
      <c r="D22" s="116">
        <v>25.587629641895109</v>
      </c>
      <c r="E22" s="60" t="s">
        <v>167</v>
      </c>
      <c r="F22" s="115">
        <v>1</v>
      </c>
      <c r="G22" s="115">
        <v>1</v>
      </c>
    </row>
    <row r="23" spans="1:7" ht="15.75" customHeight="1" x14ac:dyDescent="0.25">
      <c r="A23" s="36" t="s">
        <v>185</v>
      </c>
      <c r="B23" s="115">
        <v>0</v>
      </c>
      <c r="C23" s="115">
        <v>0.95</v>
      </c>
      <c r="D23" s="116">
        <v>4.9145085291285842</v>
      </c>
      <c r="E23" s="60" t="s">
        <v>167</v>
      </c>
      <c r="F23" s="115">
        <v>1</v>
      </c>
      <c r="G23" s="115">
        <v>1</v>
      </c>
    </row>
    <row r="24" spans="1:7" ht="15.75" customHeight="1" x14ac:dyDescent="0.25">
      <c r="A24" s="36" t="s">
        <v>186</v>
      </c>
      <c r="B24" s="115">
        <v>0.72089660062483707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5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5">
      <c r="A26" s="36" t="s">
        <v>188</v>
      </c>
      <c r="B26" s="115">
        <v>0.27672941210000002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5">
      <c r="A27" s="36" t="s">
        <v>189</v>
      </c>
      <c r="B27" s="115">
        <v>0</v>
      </c>
      <c r="C27" s="115">
        <v>0.95</v>
      </c>
      <c r="D27" s="116">
        <v>21.711791130794801</v>
      </c>
      <c r="E27" s="60" t="s">
        <v>167</v>
      </c>
      <c r="F27" s="115">
        <v>1</v>
      </c>
      <c r="G27" s="115">
        <v>1</v>
      </c>
    </row>
    <row r="28" spans="1:7" ht="15.75" customHeight="1" x14ac:dyDescent="0.25">
      <c r="A28" s="36" t="s">
        <v>190</v>
      </c>
      <c r="B28" s="115">
        <v>0.57786636349999998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5">
      <c r="A29" s="36" t="s">
        <v>191</v>
      </c>
      <c r="B29" s="115">
        <v>0.161</v>
      </c>
      <c r="C29" s="115">
        <v>0.95</v>
      </c>
      <c r="D29" s="116">
        <v>60.674348370795308</v>
      </c>
      <c r="E29" s="60" t="s">
        <v>167</v>
      </c>
      <c r="F29" s="115">
        <v>1</v>
      </c>
      <c r="G29" s="115">
        <v>1</v>
      </c>
    </row>
    <row r="30" spans="1:7" ht="15.75" customHeight="1" x14ac:dyDescent="0.25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5">
      <c r="A31" s="36" t="s">
        <v>157</v>
      </c>
      <c r="B31" s="115">
        <v>0</v>
      </c>
      <c r="C31" s="115">
        <v>0.95</v>
      </c>
      <c r="D31" s="116">
        <v>2.935143539368509</v>
      </c>
      <c r="E31" s="60" t="s">
        <v>167</v>
      </c>
      <c r="F31" s="115">
        <v>1</v>
      </c>
      <c r="G31" s="115">
        <v>1</v>
      </c>
    </row>
    <row r="32" spans="1:7" ht="15.75" customHeight="1" x14ac:dyDescent="0.25">
      <c r="A32" s="36" t="s">
        <v>193</v>
      </c>
      <c r="B32" s="115">
        <v>0</v>
      </c>
      <c r="C32" s="115">
        <v>0.95</v>
      </c>
      <c r="D32" s="116">
        <v>0.41676337027171728</v>
      </c>
      <c r="E32" s="60" t="s">
        <v>167</v>
      </c>
      <c r="F32" s="115">
        <v>1</v>
      </c>
      <c r="G32" s="115">
        <v>1</v>
      </c>
    </row>
    <row r="33" spans="1:7" ht="15.75" customHeight="1" x14ac:dyDescent="0.25">
      <c r="A33" s="36" t="s">
        <v>194</v>
      </c>
      <c r="B33" s="115">
        <v>0.62068790439999999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5">
      <c r="A34" s="36" t="s">
        <v>195</v>
      </c>
      <c r="B34" s="115">
        <v>0.7199681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5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5">
      <c r="A36" s="36" t="s">
        <v>197</v>
      </c>
      <c r="B36" s="115">
        <v>0.24531149249355999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5">
      <c r="A37" s="36" t="s">
        <v>198</v>
      </c>
      <c r="B37" s="115">
        <v>0.192751381624786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5">
      <c r="A38" s="36" t="s">
        <v>199</v>
      </c>
      <c r="B38" s="115">
        <v>0</v>
      </c>
      <c r="C38" s="115">
        <v>0.95</v>
      </c>
      <c r="D38" s="116">
        <v>3.9579419154138891</v>
      </c>
      <c r="E38" s="60" t="s">
        <v>167</v>
      </c>
      <c r="F38" s="115">
        <v>1</v>
      </c>
      <c r="G38" s="115">
        <v>1</v>
      </c>
    </row>
    <row r="39" spans="1:7" ht="15.75" customHeight="1" x14ac:dyDescent="0.25">
      <c r="A39" s="36" t="s">
        <v>200</v>
      </c>
      <c r="B39" s="115">
        <v>0.156526615756648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36" bestFit="1" customWidth="1"/>
    <col min="2" max="2" width="47.88671875" style="81" customWidth="1"/>
    <col min="3" max="3" width="42.44140625" style="81" customWidth="1"/>
    <col min="4" max="4" width="11.44140625" style="81" customWidth="1"/>
    <col min="5" max="16384" width="11.44140625" style="81"/>
  </cols>
  <sheetData>
    <row r="1" spans="1:3" x14ac:dyDescent="0.25">
      <c r="A1" s="71" t="s">
        <v>156</v>
      </c>
      <c r="B1" s="71" t="s">
        <v>201</v>
      </c>
      <c r="C1" s="71" t="s">
        <v>202</v>
      </c>
    </row>
    <row r="2" spans="1:3" x14ac:dyDescent="0.25">
      <c r="A2" s="61" t="s">
        <v>179</v>
      </c>
      <c r="B2" s="59" t="s">
        <v>189</v>
      </c>
      <c r="C2" s="59"/>
    </row>
    <row r="3" spans="1:3" x14ac:dyDescent="0.25">
      <c r="A3" s="61" t="s">
        <v>180</v>
      </c>
      <c r="B3" s="59" t="s">
        <v>189</v>
      </c>
      <c r="C3" s="59"/>
    </row>
    <row r="4" spans="1:3" x14ac:dyDescent="0.25">
      <c r="A4" s="62" t="s">
        <v>191</v>
      </c>
      <c r="B4" s="59" t="s">
        <v>184</v>
      </c>
      <c r="C4" s="59"/>
    </row>
    <row r="5" spans="1:3" x14ac:dyDescent="0.25">
      <c r="A5" s="62" t="s">
        <v>188</v>
      </c>
      <c r="B5" s="59" t="s">
        <v>184</v>
      </c>
      <c r="C5" s="59"/>
    </row>
    <row r="6" spans="1:3" x14ac:dyDescent="0.25">
      <c r="A6" s="62"/>
      <c r="B6" s="63"/>
      <c r="C6" s="63"/>
    </row>
    <row r="7" spans="1:3" x14ac:dyDescent="0.25">
      <c r="A7" s="62"/>
      <c r="B7" s="63"/>
      <c r="C7" s="63"/>
    </row>
    <row r="8" spans="1:3" x14ac:dyDescent="0.25">
      <c r="A8" s="62"/>
      <c r="B8" s="63"/>
      <c r="C8" s="63"/>
    </row>
    <row r="9" spans="1:3" x14ac:dyDescent="0.25">
      <c r="A9" s="62"/>
      <c r="B9" s="63"/>
      <c r="C9" s="63"/>
    </row>
    <row r="10" spans="1:3" x14ac:dyDescent="0.25">
      <c r="A10" s="62"/>
      <c r="B10" s="63"/>
      <c r="C10" s="63"/>
    </row>
    <row r="11" spans="1:3" x14ac:dyDescent="0.25">
      <c r="A11" s="64"/>
      <c r="B11" s="63"/>
      <c r="C11" s="63"/>
    </row>
    <row r="12" spans="1:3" x14ac:dyDescent="0.25">
      <c r="A12" s="64"/>
      <c r="B12" s="63"/>
      <c r="C12" s="63"/>
    </row>
    <row r="13" spans="1:3" x14ac:dyDescent="0.25">
      <c r="A13" s="64"/>
      <c r="B13" s="63"/>
      <c r="C13" s="63"/>
    </row>
    <row r="14" spans="1:3" x14ac:dyDescent="0.25">
      <c r="A14" s="64"/>
      <c r="B14" s="63"/>
      <c r="C14" s="63"/>
    </row>
    <row r="15" spans="1:3" x14ac:dyDescent="0.25">
      <c r="A15" s="64"/>
      <c r="B15" s="63"/>
      <c r="C15" s="63"/>
    </row>
    <row r="16" spans="1:3" x14ac:dyDescent="0.25">
      <c r="A16" s="64"/>
      <c r="B16" s="63"/>
      <c r="C16" s="63"/>
    </row>
    <row r="17" spans="1:3" x14ac:dyDescent="0.25">
      <c r="A17" s="64"/>
      <c r="B17" s="63"/>
      <c r="C17" s="63"/>
    </row>
    <row r="18" spans="1:3" x14ac:dyDescent="0.25">
      <c r="A18" s="64"/>
      <c r="B18" s="63"/>
      <c r="C18" s="63"/>
    </row>
    <row r="19" spans="1:3" x14ac:dyDescent="0.25">
      <c r="A19" s="62"/>
      <c r="B19" s="63"/>
      <c r="C19" s="63"/>
    </row>
    <row r="20" spans="1:3" x14ac:dyDescent="0.25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1" customWidth="1"/>
    <col min="2" max="2" width="11.44140625" style="81" customWidth="1"/>
    <col min="3" max="16384" width="11.44140625" style="81"/>
  </cols>
  <sheetData>
    <row r="1" spans="1:1" x14ac:dyDescent="0.25">
      <c r="A1" s="71" t="s">
        <v>156</v>
      </c>
    </row>
    <row r="2" spans="1:1" x14ac:dyDescent="0.25">
      <c r="A2" s="32" t="s">
        <v>171</v>
      </c>
    </row>
    <row r="3" spans="1:1" x14ac:dyDescent="0.25">
      <c r="A3" s="32" t="s">
        <v>181</v>
      </c>
    </row>
    <row r="4" spans="1:1" x14ac:dyDescent="0.25">
      <c r="A4" s="32" t="s">
        <v>185</v>
      </c>
    </row>
    <row r="5" spans="1:1" x14ac:dyDescent="0.25">
      <c r="A5" s="32" t="s">
        <v>194</v>
      </c>
    </row>
    <row r="6" spans="1:1" x14ac:dyDescent="0.25">
      <c r="A6" s="32" t="s">
        <v>195</v>
      </c>
    </row>
    <row r="7" spans="1:1" x14ac:dyDescent="0.25">
      <c r="A7" s="32" t="s">
        <v>196</v>
      </c>
    </row>
    <row r="8" spans="1:1" x14ac:dyDescent="0.25">
      <c r="A8" s="32" t="s">
        <v>197</v>
      </c>
    </row>
    <row r="9" spans="1:1" x14ac:dyDescent="0.25">
      <c r="A9" s="32" t="s">
        <v>198</v>
      </c>
    </row>
    <row r="10" spans="1:1" x14ac:dyDescent="0.25">
      <c r="A10" s="32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8">
        <f>'Baseline year population inputs'!C51</f>
        <v>3.3</v>
      </c>
      <c r="C2" s="18">
        <f>'Baseline year population inputs'!C52</f>
        <v>3.3</v>
      </c>
      <c r="D2" s="18">
        <f>'Baseline year population inputs'!C53</f>
        <v>3.3</v>
      </c>
      <c r="E2" s="18">
        <f>'Baseline year population inputs'!C54</f>
        <v>3.3</v>
      </c>
      <c r="F2" s="18">
        <f>'Baseline year population inputs'!C55</f>
        <v>3.3</v>
      </c>
    </row>
    <row r="3" spans="1:6" ht="15.75" customHeight="1" x14ac:dyDescent="0.25">
      <c r="A3" s="4" t="s">
        <v>204</v>
      </c>
      <c r="B3" s="18">
        <f>frac_mam_1month * 2.6</f>
        <v>7.7684037600000005E-2</v>
      </c>
      <c r="C3" s="18">
        <f>frac_mam_1_5months * 2.6</f>
        <v>7.7684037600000005E-2</v>
      </c>
      <c r="D3" s="18">
        <f>frac_mam_6_11months * 2.6</f>
        <v>0.24544125319999999</v>
      </c>
      <c r="E3" s="18">
        <f>frac_mam_12_23months * 2.6</f>
        <v>0.19032719420000002</v>
      </c>
      <c r="F3" s="18">
        <f>frac_mam_24_59months * 2.6</f>
        <v>7.6240608600000009E-2</v>
      </c>
    </row>
    <row r="4" spans="1:6" ht="15.75" customHeight="1" x14ac:dyDescent="0.25">
      <c r="A4" s="4" t="s">
        <v>205</v>
      </c>
      <c r="B4" s="18">
        <f>frac_sam_1month * 2.6</f>
        <v>2.9978044200000002E-2</v>
      </c>
      <c r="C4" s="18">
        <f>frac_sam_1_5months * 2.6</f>
        <v>2.9978044200000002E-2</v>
      </c>
      <c r="D4" s="18">
        <f>frac_sam_6_11months * 2.6</f>
        <v>3.2652718800000001E-2</v>
      </c>
      <c r="E4" s="18">
        <f>frac_sam_12_23months * 2.6</f>
        <v>4.3962149400000004E-2</v>
      </c>
      <c r="F4" s="18">
        <f>frac_sam_24_59months * 2.6</f>
        <v>1.4419274480000001E-2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style="3" bestFit="1" customWidth="1"/>
    <col min="2" max="2" width="45.88671875" style="3" customWidth="1"/>
    <col min="3" max="3" width="8.44140625" style="3" bestFit="1" customWidth="1"/>
    <col min="4" max="4" width="10" style="3" bestFit="1" customWidth="1"/>
    <col min="5" max="5" width="10.88671875" style="3" bestFit="1" customWidth="1"/>
    <col min="6" max="7" width="11.88671875" style="3" bestFit="1" customWidth="1"/>
    <col min="8" max="11" width="13.88671875" style="3" bestFit="1" customWidth="1"/>
    <col min="12" max="15" width="15.109375" style="3" bestFit="1" customWidth="1"/>
  </cols>
  <sheetData>
    <row r="1" spans="1:15" ht="15.75" customHeight="1" x14ac:dyDescent="0.25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5">
      <c r="A2" s="39" t="s">
        <v>76</v>
      </c>
      <c r="B2" s="7" t="s">
        <v>169</v>
      </c>
      <c r="C2" s="65">
        <v>0</v>
      </c>
      <c r="D2" s="65">
        <f>food_insecure</f>
        <v>0.52900000000000003</v>
      </c>
      <c r="E2" s="65">
        <f>food_insecure</f>
        <v>0.52900000000000003</v>
      </c>
      <c r="F2" s="65">
        <f>food_insecure</f>
        <v>0.52900000000000003</v>
      </c>
      <c r="G2" s="65">
        <f>food_insecure</f>
        <v>0.52900000000000003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5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5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5">
      <c r="B5" s="7" t="s">
        <v>184</v>
      </c>
      <c r="C5" s="65">
        <v>0</v>
      </c>
      <c r="D5" s="65">
        <v>0</v>
      </c>
      <c r="E5" s="65">
        <f>food_insecure</f>
        <v>0.52900000000000003</v>
      </c>
      <c r="F5" s="65">
        <f>food_insecure</f>
        <v>0.52900000000000003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5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5">
      <c r="B7" s="25" t="s">
        <v>190</v>
      </c>
      <c r="C7" s="65">
        <f>diarrhoea_1mo*frac_diarrhea_severe</f>
        <v>7.2394881170018285E-2</v>
      </c>
      <c r="D7" s="65">
        <f>diarrhoea_1_5mo*frac_diarrhea_severe</f>
        <v>7.2394881170018285E-2</v>
      </c>
      <c r="E7" s="65">
        <f>diarrhoea_6_11mo*frac_diarrhea_severe</f>
        <v>7.2394881170018285E-2</v>
      </c>
      <c r="F7" s="65">
        <f>diarrhoea_12_23mo*frac_diarrhea_severe</f>
        <v>7.2394881170018285E-2</v>
      </c>
      <c r="G7" s="65">
        <f>diarrhoea_24_59mo*frac_diarrhea_severe</f>
        <v>7.2394881170018285E-2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5">
      <c r="B8" s="7" t="s">
        <v>191</v>
      </c>
      <c r="C8" s="65">
        <v>0</v>
      </c>
      <c r="D8" s="65">
        <v>0</v>
      </c>
      <c r="E8" s="65">
        <f>food_insecure</f>
        <v>0.52900000000000003</v>
      </c>
      <c r="F8" s="65">
        <f>food_insecure</f>
        <v>0.52900000000000003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5">
      <c r="B9" s="7" t="s">
        <v>192</v>
      </c>
      <c r="C9" s="65">
        <v>0</v>
      </c>
      <c r="D9" s="65">
        <v>0</v>
      </c>
      <c r="E9" s="65">
        <f>food_insecure</f>
        <v>0.52900000000000003</v>
      </c>
      <c r="F9" s="65">
        <f>food_insecure</f>
        <v>0.52900000000000003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5">
      <c r="B10" s="7" t="s">
        <v>157</v>
      </c>
      <c r="C10" s="65">
        <v>0</v>
      </c>
      <c r="D10" s="65">
        <f>IF(ISBLANK(comm_deliv), frac_children_health_facility,1)</f>
        <v>0.71700000000000008</v>
      </c>
      <c r="E10" s="65">
        <f>IF(ISBLANK(comm_deliv), frac_children_health_facility,1)</f>
        <v>0.71700000000000008</v>
      </c>
      <c r="F10" s="65">
        <f>IF(ISBLANK(comm_deliv), frac_children_health_facility,1)</f>
        <v>0.71700000000000008</v>
      </c>
      <c r="G10" s="65">
        <f>IF(ISBLANK(comm_deliv), frac_children_health_facility,1)</f>
        <v>0.71700000000000008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5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5">
      <c r="B12" s="25" t="s">
        <v>199</v>
      </c>
      <c r="C12" s="65">
        <f>diarrhoea_1mo*frac_diarrhea_severe</f>
        <v>7.2394881170018285E-2</v>
      </c>
      <c r="D12" s="65">
        <f>diarrhoea_1_5mo*frac_diarrhea_severe</f>
        <v>7.2394881170018285E-2</v>
      </c>
      <c r="E12" s="65">
        <f>diarrhoea_6_11mo*frac_diarrhea_severe</f>
        <v>7.2394881170018285E-2</v>
      </c>
      <c r="F12" s="65">
        <f>diarrhoea_12_23mo*frac_diarrhea_severe</f>
        <v>7.2394881170018285E-2</v>
      </c>
      <c r="G12" s="65">
        <f>diarrhoea_24_59mo*frac_diarrhea_severe</f>
        <v>7.2394881170018285E-2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5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5">
      <c r="B14" s="25"/>
    </row>
    <row r="15" spans="1:15" ht="15.75" customHeight="1" x14ac:dyDescent="0.25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0.52900000000000003</v>
      </c>
      <c r="I15" s="65">
        <f>food_insecure</f>
        <v>0.52900000000000003</v>
      </c>
      <c r="J15" s="65">
        <f>food_insecure</f>
        <v>0.52900000000000003</v>
      </c>
      <c r="K15" s="65">
        <f>food_insecure</f>
        <v>0.52900000000000003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5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5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5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0.76</v>
      </c>
      <c r="I18" s="65">
        <f>frac_PW_health_facility</f>
        <v>0.76</v>
      </c>
      <c r="J18" s="65">
        <f>frac_PW_health_facility</f>
        <v>0.76</v>
      </c>
      <c r="K18" s="65">
        <f>frac_PW_health_facility</f>
        <v>0.76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5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0.99900000000000011</v>
      </c>
      <c r="I19" s="65">
        <f>frac_malaria_risk</f>
        <v>0.99900000000000011</v>
      </c>
      <c r="J19" s="65">
        <f>frac_malaria_risk</f>
        <v>0.99900000000000011</v>
      </c>
      <c r="K19" s="65">
        <f>frac_malaria_risk</f>
        <v>0.99900000000000011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5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5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5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5">
      <c r="B23" s="25"/>
    </row>
    <row r="24" spans="1:15" ht="15.75" customHeight="1" x14ac:dyDescent="0.25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0.625</v>
      </c>
      <c r="M24" s="65">
        <f>famplan_unmet_need</f>
        <v>0.625</v>
      </c>
      <c r="N24" s="65">
        <f>famplan_unmet_need</f>
        <v>0.625</v>
      </c>
      <c r="O24" s="65">
        <f>famplan_unmet_need</f>
        <v>0.625</v>
      </c>
    </row>
    <row r="25" spans="1:15" ht="15.75" customHeight="1" x14ac:dyDescent="0.25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0.37890368435478206</v>
      </c>
      <c r="M25" s="65">
        <f>(1-food_insecure)*(0.49)+food_insecure*(0.7)</f>
        <v>0.60109000000000001</v>
      </c>
      <c r="N25" s="65">
        <f>(1-food_insecure)*(0.49)+food_insecure*(0.7)</f>
        <v>0.60109000000000001</v>
      </c>
      <c r="O25" s="65">
        <f>(1-food_insecure)*(0.49)+food_insecure*(0.7)</f>
        <v>0.60109000000000001</v>
      </c>
    </row>
    <row r="26" spans="1:15" ht="15.75" customHeight="1" x14ac:dyDescent="0.25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0.16238729329490659</v>
      </c>
      <c r="M26" s="65">
        <f>(1-food_insecure)*(0.21)+food_insecure*(0.3)</f>
        <v>0.25761000000000001</v>
      </c>
      <c r="N26" s="65">
        <f>(1-food_insecure)*(0.21)+food_insecure*(0.3)</f>
        <v>0.25761000000000001</v>
      </c>
      <c r="O26" s="65">
        <f>(1-food_insecure)*(0.21)+food_insecure*(0.3)</f>
        <v>0.25761000000000001</v>
      </c>
    </row>
    <row r="27" spans="1:15" ht="15.75" customHeight="1" x14ac:dyDescent="0.25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8.9070007152557348E-2</v>
      </c>
      <c r="M27" s="65">
        <f>(1-food_insecure)*(0.3)</f>
        <v>0.14129999999999998</v>
      </c>
      <c r="N27" s="65">
        <f>(1-food_insecure)*(0.3)</f>
        <v>0.14129999999999998</v>
      </c>
      <c r="O27" s="65">
        <f>(1-food_insecure)*(0.3)</f>
        <v>0.14129999999999998</v>
      </c>
    </row>
    <row r="28" spans="1:15" ht="15.75" customHeight="1" x14ac:dyDescent="0.25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0.369639015197754</v>
      </c>
      <c r="M28" s="65">
        <v>0</v>
      </c>
      <c r="N28" s="65">
        <v>0</v>
      </c>
      <c r="O28" s="65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5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5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5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5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5">
      <c r="B34" s="7" t="s">
        <v>185</v>
      </c>
      <c r="C34" s="65">
        <f t="shared" ref="C34:O34" si="3">frac_malaria_risk</f>
        <v>0.99900000000000011</v>
      </c>
      <c r="D34" s="65">
        <f t="shared" si="3"/>
        <v>0.99900000000000011</v>
      </c>
      <c r="E34" s="65">
        <f t="shared" si="3"/>
        <v>0.99900000000000011</v>
      </c>
      <c r="F34" s="65">
        <f t="shared" si="3"/>
        <v>0.99900000000000011</v>
      </c>
      <c r="G34" s="65">
        <f t="shared" si="3"/>
        <v>0.99900000000000011</v>
      </c>
      <c r="H34" s="65">
        <f t="shared" si="3"/>
        <v>0.99900000000000011</v>
      </c>
      <c r="I34" s="65">
        <f t="shared" si="3"/>
        <v>0.99900000000000011</v>
      </c>
      <c r="J34" s="65">
        <f t="shared" si="3"/>
        <v>0.99900000000000011</v>
      </c>
      <c r="K34" s="65">
        <f t="shared" si="3"/>
        <v>0.99900000000000011</v>
      </c>
      <c r="L34" s="65">
        <f t="shared" si="3"/>
        <v>0.99900000000000011</v>
      </c>
      <c r="M34" s="65">
        <f t="shared" si="3"/>
        <v>0.99900000000000011</v>
      </c>
      <c r="N34" s="65">
        <f t="shared" si="3"/>
        <v>0.99900000000000011</v>
      </c>
      <c r="O34" s="65">
        <f t="shared" si="3"/>
        <v>0.99900000000000011</v>
      </c>
    </row>
    <row r="35" spans="2:15" ht="15.75" customHeight="1" x14ac:dyDescent="0.25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5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5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5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5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5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13" t="s">
        <v>167</v>
      </c>
    </row>
    <row r="2" spans="1:1" x14ac:dyDescent="0.25">
      <c r="A2" s="113" t="s">
        <v>209</v>
      </c>
    </row>
    <row r="3" spans="1:1" x14ac:dyDescent="0.25">
      <c r="A3" s="113" t="s">
        <v>210</v>
      </c>
    </row>
    <row r="4" spans="1:1" x14ac:dyDescent="0.25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1" customWidth="1"/>
    <col min="2" max="2" width="12.44140625" style="81" customWidth="1"/>
    <col min="3" max="4" width="11.44140625" style="81" customWidth="1"/>
    <col min="5" max="5" width="17.44140625" style="81" customWidth="1"/>
    <col min="6" max="6" width="11.44140625" style="81" customWidth="1"/>
    <col min="7" max="16384" width="11.44140625" style="81"/>
  </cols>
  <sheetData>
    <row r="1" spans="1:5" x14ac:dyDescent="0.25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8" customHeight="1" x14ac:dyDescent="0.25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8" customHeight="1" x14ac:dyDescent="0.25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8" customHeight="1" x14ac:dyDescent="0.25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8" customHeight="1" x14ac:dyDescent="0.25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8" customHeight="1" x14ac:dyDescent="0.25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8" customHeight="1" x14ac:dyDescent="0.25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8" customHeight="1" x14ac:dyDescent="0.25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8" customHeight="1" x14ac:dyDescent="0.25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8" customHeight="1" x14ac:dyDescent="0.25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70" bestFit="1" customWidth="1"/>
    <col min="2" max="2" width="58.88671875" style="70" bestFit="1" customWidth="1"/>
    <col min="3" max="3" width="9.44140625" style="70" bestFit="1" customWidth="1"/>
    <col min="4" max="4" width="11.109375" style="70" bestFit="1" customWidth="1"/>
    <col min="5" max="5" width="12" style="70" bestFit="1" customWidth="1"/>
    <col min="6" max="7" width="13.109375" style="70" bestFit="1" customWidth="1"/>
    <col min="8" max="11" width="15.33203125" style="70" bestFit="1" customWidth="1"/>
    <col min="12" max="15" width="16.88671875" style="70" bestFit="1" customWidth="1"/>
    <col min="16" max="16" width="16.109375" style="70" customWidth="1"/>
    <col min="17" max="16384" width="16.109375" style="70"/>
  </cols>
  <sheetData>
    <row r="1" spans="1:15" ht="15.75" customHeight="1" x14ac:dyDescent="0.3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3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05" customHeight="1" x14ac:dyDescent="0.3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3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5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5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5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5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5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5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5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5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5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5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5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5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5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5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5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5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5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5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5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5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5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5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5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5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5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5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5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5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5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5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5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5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5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5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5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5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5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5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5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5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1" customWidth="1"/>
    <col min="2" max="2" width="15" style="81" customWidth="1"/>
    <col min="3" max="3" width="14.6640625" style="81" customWidth="1"/>
    <col min="4" max="4" width="12.77734375" style="81" customWidth="1"/>
    <col min="5" max="16384" width="12.77734375" style="81"/>
  </cols>
  <sheetData>
    <row r="1" spans="1:10" x14ac:dyDescent="0.25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5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5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5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5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x14ac:dyDescent="0.25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5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x14ac:dyDescent="0.25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5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5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5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5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5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5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5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5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5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5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5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5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5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5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5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5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5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5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5">
      <c r="D71" s="101"/>
      <c r="E71" s="101"/>
      <c r="F71" s="101"/>
      <c r="G71" s="101"/>
      <c r="H71" s="101"/>
    </row>
    <row r="72" spans="1:8" x14ac:dyDescent="0.25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5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5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5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5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5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5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5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5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5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5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5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5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5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5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5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5">
      <c r="D88" s="101"/>
      <c r="E88" s="101"/>
      <c r="F88" s="101"/>
      <c r="G88" s="101"/>
      <c r="H88" s="101"/>
    </row>
    <row r="89" spans="1:8" x14ac:dyDescent="0.25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5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5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5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5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5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5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5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5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5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5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5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5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5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5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5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5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5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5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5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5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5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5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5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5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5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5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5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5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5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5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5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5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5">
      <c r="D124" s="101"/>
      <c r="E124" s="101"/>
      <c r="F124" s="101"/>
      <c r="G124" s="101"/>
      <c r="H124" s="101"/>
    </row>
    <row r="125" spans="1:8" x14ac:dyDescent="0.25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5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5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5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5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5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5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5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5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5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5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5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5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5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5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5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5">
      <c r="D141" s="101"/>
      <c r="E141" s="101"/>
      <c r="F141" s="101"/>
      <c r="G141" s="101"/>
      <c r="H141" s="101"/>
    </row>
    <row r="142" spans="1:8" x14ac:dyDescent="0.25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5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5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5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5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5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5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5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5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5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5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5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5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5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5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5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1" customWidth="1"/>
    <col min="2" max="2" width="34.109375" style="81" customWidth="1"/>
    <col min="3" max="3" width="11.33203125" style="81" bestFit="1" customWidth="1"/>
    <col min="4" max="4" width="11.88671875" style="81" customWidth="1"/>
    <col min="5" max="6" width="15" style="81" customWidth="1"/>
    <col min="7" max="7" width="16.109375" style="81" customWidth="1"/>
    <col min="8" max="16384" width="16.109375" style="81"/>
  </cols>
  <sheetData>
    <row r="1" spans="1:6" s="84" customFormat="1" ht="18.75" customHeight="1" x14ac:dyDescent="0.25">
      <c r="A1" s="74" t="s">
        <v>243</v>
      </c>
    </row>
    <row r="2" spans="1:6" ht="15.75" customHeight="1" x14ac:dyDescent="0.25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5">
      <c r="A3" s="71" t="s">
        <v>244</v>
      </c>
      <c r="B3" s="77"/>
      <c r="C3" s="78"/>
      <c r="D3" s="79"/>
      <c r="E3" s="79"/>
      <c r="F3" s="79"/>
    </row>
    <row r="4" spans="1:6" ht="15.75" customHeight="1" x14ac:dyDescent="0.25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0"/>
      <c r="D8" s="72"/>
      <c r="E8" s="72"/>
      <c r="F8" s="72"/>
    </row>
    <row r="9" spans="1:6" ht="15.75" customHeight="1" x14ac:dyDescent="0.25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0"/>
      <c r="D10" s="72"/>
      <c r="E10" s="72"/>
      <c r="F10" s="72"/>
    </row>
    <row r="11" spans="1:6" s="84" customFormat="1" ht="15" customHeight="1" x14ac:dyDescent="0.25">
      <c r="A11" s="74" t="s">
        <v>246</v>
      </c>
      <c r="C11" s="82"/>
      <c r="D11" s="83"/>
      <c r="E11" s="83"/>
      <c r="F11" s="83"/>
    </row>
    <row r="12" spans="1:6" ht="15.75" customHeight="1" x14ac:dyDescent="0.25">
      <c r="A12" s="71" t="s">
        <v>247</v>
      </c>
      <c r="C12" s="80"/>
      <c r="D12" s="72"/>
      <c r="E12" s="72"/>
      <c r="F12" s="72"/>
    </row>
    <row r="13" spans="1:6" ht="15.75" customHeight="1" x14ac:dyDescent="0.25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5">
      <c r="A16" s="71"/>
      <c r="B16" s="85"/>
      <c r="C16" s="86"/>
      <c r="D16" s="72"/>
      <c r="E16" s="72"/>
      <c r="F16" s="72"/>
    </row>
    <row r="17" spans="1:6" ht="15.75" customHeight="1" x14ac:dyDescent="0.25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5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85"/>
    </row>
    <row r="27" spans="1:6" ht="15.75" customHeight="1" x14ac:dyDescent="0.25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5">
      <c r="A28" s="74" t="s">
        <v>243</v>
      </c>
    </row>
    <row r="29" spans="1:6" ht="15.75" customHeight="1" x14ac:dyDescent="0.25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5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5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5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5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5">
      <c r="C35" s="80"/>
      <c r="D35" s="72"/>
      <c r="E35" s="72"/>
      <c r="F35" s="72"/>
    </row>
    <row r="36" spans="1:6" ht="15.75" customHeight="1" x14ac:dyDescent="0.25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5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5">
      <c r="A39" s="71" t="s">
        <v>252</v>
      </c>
      <c r="C39" s="80"/>
      <c r="D39" s="72"/>
      <c r="E39" s="72"/>
      <c r="F39" s="72"/>
    </row>
    <row r="40" spans="1:6" ht="15.75" customHeight="1" x14ac:dyDescent="0.25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5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5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5">
      <c r="A43" s="71"/>
      <c r="B43" s="85"/>
      <c r="C43" s="86"/>
      <c r="D43" s="72"/>
      <c r="E43" s="72"/>
      <c r="F43" s="72"/>
    </row>
    <row r="44" spans="1:6" ht="15.75" customHeight="1" x14ac:dyDescent="0.25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5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5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5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5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5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5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5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5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5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5">
      <c r="A55" s="74" t="s">
        <v>243</v>
      </c>
    </row>
    <row r="56" spans="1:6" ht="15.75" customHeight="1" x14ac:dyDescent="0.25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5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5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5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5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5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5">
      <c r="C62" s="80"/>
      <c r="D62" s="72"/>
      <c r="E62" s="72"/>
      <c r="F62" s="72"/>
    </row>
    <row r="63" spans="1:6" ht="15.75" customHeight="1" x14ac:dyDescent="0.25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5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5">
      <c r="A66" s="71" t="s">
        <v>259</v>
      </c>
      <c r="C66" s="80"/>
      <c r="D66" s="72"/>
      <c r="E66" s="72"/>
      <c r="F66" s="72"/>
    </row>
    <row r="67" spans="1:6" ht="15.75" customHeight="1" x14ac:dyDescent="0.25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5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5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5">
      <c r="A70" s="71"/>
      <c r="B70" s="85"/>
      <c r="C70" s="86"/>
      <c r="D70" s="72"/>
      <c r="E70" s="72"/>
      <c r="F70" s="72"/>
    </row>
    <row r="71" spans="1:6" ht="15.75" customHeight="1" x14ac:dyDescent="0.25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5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5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5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5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5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5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5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5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1" customWidth="1"/>
    <col min="2" max="2" width="26.88671875" style="81" customWidth="1"/>
    <col min="3" max="3" width="18.33203125" style="81" customWidth="1"/>
    <col min="4" max="8" width="14.77734375" style="81" customWidth="1"/>
    <col min="9" max="12" width="15.33203125" style="81" bestFit="1" customWidth="1"/>
    <col min="13" max="16" width="16.88671875" style="81" bestFit="1" customWidth="1"/>
    <col min="17" max="17" width="12.77734375" style="81" customWidth="1"/>
    <col min="18" max="16384" width="12.77734375" style="81"/>
  </cols>
  <sheetData>
    <row r="1" spans="1:16" s="84" customFormat="1" x14ac:dyDescent="0.25">
      <c r="A1" s="74" t="s">
        <v>264</v>
      </c>
    </row>
    <row r="2" spans="1:16" x14ac:dyDescent="0.25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5">
      <c r="A28" s="74" t="s">
        <v>271</v>
      </c>
    </row>
    <row r="29" spans="1:16" x14ac:dyDescent="0.25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5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98"/>
      <c r="D54" s="98"/>
    </row>
    <row r="55" spans="1:16" s="84" customFormat="1" x14ac:dyDescent="0.25">
      <c r="A55" s="74" t="s">
        <v>274</v>
      </c>
    </row>
    <row r="56" spans="1:16" ht="26.4" customHeight="1" x14ac:dyDescent="0.25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5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5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5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5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5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5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5">
      <c r="C63" s="98"/>
      <c r="D63" s="98"/>
    </row>
    <row r="64" spans="1:16" s="84" customFormat="1" x14ac:dyDescent="0.25">
      <c r="A64" s="74" t="s">
        <v>278</v>
      </c>
    </row>
    <row r="65" spans="1:16" ht="26.4" customHeight="1" x14ac:dyDescent="0.25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5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5">
      <c r="A103" s="74" t="s">
        <v>280</v>
      </c>
    </row>
    <row r="104" spans="1:16" ht="26.4" customHeight="1" x14ac:dyDescent="0.25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5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5">
      <c r="A110" s="107" t="s">
        <v>235</v>
      </c>
      <c r="H110" s="107"/>
    </row>
    <row r="111" spans="1:16" x14ac:dyDescent="0.25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5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5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5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5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5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5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5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5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5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5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5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5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5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5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5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5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5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5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5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5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5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5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5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5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5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5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5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5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5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5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5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5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5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5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5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5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5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5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5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5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5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5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5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5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5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5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5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5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5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5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5">
      <c r="C164" s="98"/>
      <c r="D164" s="98"/>
    </row>
    <row r="165" spans="1:8" x14ac:dyDescent="0.25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" customHeight="1" x14ac:dyDescent="0.25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5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5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5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5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5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5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5">
      <c r="C173" s="98"/>
      <c r="D173" s="98"/>
    </row>
    <row r="174" spans="1:8" x14ac:dyDescent="0.25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" customHeight="1" x14ac:dyDescent="0.25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5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5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5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5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5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5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5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5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5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5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5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5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5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5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5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5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5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5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5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5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5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5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5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5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5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5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5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5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5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5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5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5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5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5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5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5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5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" customHeight="1" x14ac:dyDescent="0.25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5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5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5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5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5">
      <c r="A220" s="107" t="s">
        <v>239</v>
      </c>
      <c r="H220" s="107"/>
    </row>
    <row r="221" spans="1:9" x14ac:dyDescent="0.25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5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5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5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5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5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5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5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5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5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5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5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5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5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5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5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5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5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5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5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5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5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5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5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5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5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5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5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5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5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5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5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5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5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5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5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5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5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5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5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5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5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5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5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5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5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5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5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5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5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5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5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5">
      <c r="C274" s="98"/>
      <c r="D274" s="98"/>
    </row>
    <row r="275" spans="1:9" x14ac:dyDescent="0.25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" customHeight="1" x14ac:dyDescent="0.25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5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5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5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5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5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5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5">
      <c r="C283" s="98"/>
      <c r="D283" s="98"/>
    </row>
    <row r="284" spans="1:9" x14ac:dyDescent="0.25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" customHeight="1" x14ac:dyDescent="0.25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5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5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5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5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5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5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5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5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5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5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5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5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5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5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5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5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5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5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5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5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5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5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5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5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5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5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5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5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5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5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5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5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5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5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5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5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5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" customHeight="1" x14ac:dyDescent="0.25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5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5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5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5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1" customWidth="1"/>
    <col min="2" max="2" width="44.44140625" style="81" customWidth="1"/>
    <col min="3" max="3" width="17.77734375" style="81" customWidth="1"/>
    <col min="4" max="4" width="17.5546875" style="81" customWidth="1"/>
    <col min="5" max="5" width="17.21875" style="81" customWidth="1"/>
    <col min="6" max="6" width="15" style="81" customWidth="1"/>
    <col min="7" max="7" width="13.6640625" style="81" customWidth="1"/>
    <col min="8" max="8" width="12.77734375" style="81" customWidth="1"/>
    <col min="9" max="16384" width="12.77734375" style="81"/>
  </cols>
  <sheetData>
    <row r="1" spans="1:7" s="84" customFormat="1" ht="14.25" customHeight="1" x14ac:dyDescent="0.25">
      <c r="A1" s="74" t="s">
        <v>281</v>
      </c>
    </row>
    <row r="2" spans="1:7" ht="14.25" customHeight="1" x14ac:dyDescent="0.25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5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5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5">
      <c r="A5" s="77" t="s">
        <v>285</v>
      </c>
    </row>
    <row r="6" spans="1:7" ht="14.25" customHeight="1" x14ac:dyDescent="0.25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89"/>
      <c r="C10" s="89"/>
      <c r="D10" s="89"/>
      <c r="E10" s="89"/>
      <c r="F10" s="89"/>
      <c r="G10" s="89"/>
    </row>
    <row r="11" spans="1:7" s="84" customFormat="1" ht="14.25" customHeight="1" x14ac:dyDescent="0.25">
      <c r="A11" s="74" t="s">
        <v>286</v>
      </c>
    </row>
    <row r="12" spans="1:7" ht="14.25" customHeight="1" x14ac:dyDescent="0.25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5">
      <c r="A13" s="77"/>
      <c r="B13" s="85"/>
    </row>
    <row r="14" spans="1:7" s="84" customFormat="1" ht="14.25" customHeight="1" x14ac:dyDescent="0.25">
      <c r="A14" s="74" t="s">
        <v>287</v>
      </c>
    </row>
    <row r="15" spans="1:7" ht="14.25" customHeight="1" x14ac:dyDescent="0.25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5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5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4" customFormat="1" ht="14.25" customHeight="1" x14ac:dyDescent="0.25">
      <c r="A19" s="74" t="s">
        <v>291</v>
      </c>
    </row>
    <row r="20" spans="1:7" s="77" customFormat="1" ht="14.25" customHeight="1" x14ac:dyDescent="0.25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5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5">
      <c r="A23" s="107" t="s">
        <v>235</v>
      </c>
    </row>
    <row r="24" spans="1:7" x14ac:dyDescent="0.25">
      <c r="A24" s="74" t="s">
        <v>281</v>
      </c>
      <c r="B24" s="84"/>
      <c r="C24" s="84"/>
      <c r="D24" s="84"/>
      <c r="E24" s="84"/>
      <c r="F24" s="84"/>
      <c r="G24" s="84"/>
    </row>
    <row r="25" spans="1:7" x14ac:dyDescent="0.25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5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5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5">
      <c r="A28" s="77" t="s">
        <v>294</v>
      </c>
    </row>
    <row r="29" spans="1:7" x14ac:dyDescent="0.25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5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5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5">
      <c r="B33" s="89"/>
      <c r="C33" s="89"/>
      <c r="D33" s="89"/>
      <c r="E33" s="89"/>
      <c r="F33" s="89"/>
      <c r="G33" s="89"/>
    </row>
    <row r="34" spans="1:7" x14ac:dyDescent="0.25">
      <c r="A34" s="74" t="s">
        <v>299</v>
      </c>
      <c r="B34" s="84"/>
      <c r="C34" s="84"/>
      <c r="D34" s="84"/>
      <c r="E34" s="84"/>
      <c r="F34" s="84"/>
      <c r="G34" s="84"/>
    </row>
    <row r="35" spans="1:7" x14ac:dyDescent="0.25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5">
      <c r="A36" s="77"/>
      <c r="B36" s="85"/>
    </row>
    <row r="37" spans="1:7" x14ac:dyDescent="0.25">
      <c r="A37" s="74" t="s">
        <v>287</v>
      </c>
      <c r="B37" s="84"/>
      <c r="C37" s="84"/>
      <c r="D37" s="84"/>
      <c r="E37" s="84"/>
      <c r="F37" s="84"/>
      <c r="G37" s="84"/>
    </row>
    <row r="38" spans="1:7" x14ac:dyDescent="0.25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5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5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5">
      <c r="A42" s="74" t="s">
        <v>304</v>
      </c>
      <c r="B42" s="84"/>
      <c r="C42" s="84"/>
      <c r="D42" s="84"/>
      <c r="E42" s="84"/>
      <c r="F42" s="84"/>
      <c r="G42" s="84"/>
    </row>
    <row r="43" spans="1:7" x14ac:dyDescent="0.25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5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5">
      <c r="A46" s="107" t="s">
        <v>239</v>
      </c>
    </row>
    <row r="47" spans="1:7" x14ac:dyDescent="0.25">
      <c r="A47" s="74" t="s">
        <v>281</v>
      </c>
      <c r="B47" s="84"/>
      <c r="C47" s="84"/>
      <c r="D47" s="84"/>
      <c r="E47" s="84"/>
      <c r="F47" s="84"/>
      <c r="G47" s="84"/>
    </row>
    <row r="48" spans="1:7" x14ac:dyDescent="0.25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5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5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5">
      <c r="A51" s="77" t="s">
        <v>308</v>
      </c>
    </row>
    <row r="52" spans="1:7" x14ac:dyDescent="0.25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5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5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5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5">
      <c r="B56" s="89"/>
      <c r="C56" s="89"/>
      <c r="D56" s="89"/>
      <c r="E56" s="89"/>
      <c r="F56" s="89"/>
      <c r="G56" s="89"/>
    </row>
    <row r="57" spans="1:7" x14ac:dyDescent="0.25">
      <c r="A57" s="74" t="s">
        <v>313</v>
      </c>
      <c r="B57" s="84"/>
      <c r="C57" s="84"/>
      <c r="D57" s="84"/>
      <c r="E57" s="84"/>
      <c r="F57" s="84"/>
      <c r="G57" s="84"/>
    </row>
    <row r="58" spans="1:7" x14ac:dyDescent="0.25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5">
      <c r="A59" s="77"/>
      <c r="B59" s="85"/>
    </row>
    <row r="60" spans="1:7" x14ac:dyDescent="0.25">
      <c r="A60" s="74" t="s">
        <v>287</v>
      </c>
      <c r="B60" s="84"/>
      <c r="C60" s="84"/>
      <c r="D60" s="84"/>
      <c r="E60" s="84"/>
      <c r="F60" s="84"/>
      <c r="G60" s="84"/>
    </row>
    <row r="61" spans="1:7" x14ac:dyDescent="0.25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5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5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5">
      <c r="A65" s="74" t="s">
        <v>318</v>
      </c>
      <c r="B65" s="84"/>
      <c r="C65" s="84"/>
      <c r="D65" s="84"/>
      <c r="E65" s="84"/>
      <c r="F65" s="84"/>
      <c r="G65" s="84"/>
    </row>
    <row r="66" spans="1:7" x14ac:dyDescent="0.25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5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1" customWidth="1"/>
    <col min="2" max="6" width="16.109375" style="81" customWidth="1"/>
    <col min="7" max="7" width="17.21875" style="81" customWidth="1"/>
    <col min="8" max="9" width="16.109375" style="81" customWidth="1"/>
    <col min="10" max="16384" width="16.109375" style="81"/>
  </cols>
  <sheetData>
    <row r="1" spans="1:6" ht="15.75" customHeight="1" x14ac:dyDescent="0.25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5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5">
      <c r="A15" s="107" t="s">
        <v>235</v>
      </c>
    </row>
    <row r="16" spans="1:6" ht="15.75" customHeight="1" x14ac:dyDescent="0.25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5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5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5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5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5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5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5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5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5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5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5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5">
      <c r="A30" s="107" t="s">
        <v>239</v>
      </c>
    </row>
    <row r="31" spans="1:6" ht="15.75" customHeight="1" x14ac:dyDescent="0.25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5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5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5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5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5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5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5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5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5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5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5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5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1" customWidth="1"/>
    <col min="2" max="2" width="58.88671875" style="81" bestFit="1" customWidth="1"/>
    <col min="3" max="15" width="15" style="81" customWidth="1"/>
    <col min="16" max="16" width="12.77734375" style="81" customWidth="1"/>
    <col min="17" max="16384" width="12.77734375" style="81"/>
  </cols>
  <sheetData>
    <row r="1" spans="1:15" ht="35.25" customHeight="1" x14ac:dyDescent="0.25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5">
      <c r="A2" s="71" t="s">
        <v>322</v>
      </c>
    </row>
    <row r="3" spans="1:15" x14ac:dyDescent="0.25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05" customHeight="1" x14ac:dyDescent="0.25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5">
      <c r="A17" s="71" t="s">
        <v>323</v>
      </c>
      <c r="B17" s="85"/>
    </row>
    <row r="18" spans="1:15" x14ac:dyDescent="0.25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5">
      <c r="A23" s="107" t="s">
        <v>235</v>
      </c>
    </row>
    <row r="24" spans="1:15" ht="26.4" customHeight="1" x14ac:dyDescent="0.25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5">
      <c r="A25" s="71" t="s">
        <v>324</v>
      </c>
    </row>
    <row r="26" spans="1:15" x14ac:dyDescent="0.25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5">
      <c r="A40" s="71" t="s">
        <v>325</v>
      </c>
      <c r="B40" s="85"/>
    </row>
    <row r="41" spans="1:15" x14ac:dyDescent="0.25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5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5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5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5">
      <c r="A46" s="107" t="s">
        <v>239</v>
      </c>
    </row>
    <row r="47" spans="1:15" ht="26.4" customHeight="1" x14ac:dyDescent="0.25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5">
      <c r="A48" s="71" t="s">
        <v>326</v>
      </c>
    </row>
    <row r="49" spans="1:15" x14ac:dyDescent="0.25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5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5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5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5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5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5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5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5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5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5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5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5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5">
      <c r="A63" s="71" t="s">
        <v>327</v>
      </c>
      <c r="B63" s="85"/>
    </row>
    <row r="64" spans="1:15" x14ac:dyDescent="0.25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5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5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5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1" customWidth="1"/>
    <col min="2" max="2" width="27.77734375" style="81" customWidth="1"/>
    <col min="3" max="7" width="15.5546875" style="81" customWidth="1"/>
    <col min="8" max="8" width="12.77734375" style="81" customWidth="1"/>
    <col min="9" max="16384" width="12.77734375" style="81"/>
  </cols>
  <sheetData>
    <row r="1" spans="1:7" x14ac:dyDescent="0.25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5">
      <c r="A2" s="71" t="s">
        <v>328</v>
      </c>
    </row>
    <row r="3" spans="1:7" x14ac:dyDescent="0.25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5">
      <c r="A4" s="71" t="s">
        <v>329</v>
      </c>
      <c r="B4" s="85"/>
      <c r="C4" s="97"/>
      <c r="D4" s="97"/>
      <c r="E4" s="97"/>
      <c r="F4" s="97"/>
      <c r="G4" s="97"/>
    </row>
    <row r="5" spans="1:7" x14ac:dyDescent="0.25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5">
      <c r="A7" s="107" t="s">
        <v>330</v>
      </c>
    </row>
    <row r="8" spans="1:7" x14ac:dyDescent="0.25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5">
      <c r="A9" s="71" t="s">
        <v>331</v>
      </c>
    </row>
    <row r="10" spans="1:7" x14ac:dyDescent="0.25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5">
      <c r="A11" s="71" t="s">
        <v>332</v>
      </c>
      <c r="B11" s="85"/>
      <c r="C11" s="97"/>
      <c r="D11" s="97"/>
      <c r="E11" s="97"/>
      <c r="F11" s="97"/>
      <c r="G11" s="97"/>
    </row>
    <row r="12" spans="1:7" x14ac:dyDescent="0.25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5">
      <c r="A14" s="107" t="s">
        <v>333</v>
      </c>
    </row>
    <row r="15" spans="1:7" x14ac:dyDescent="0.25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5">
      <c r="A16" s="71" t="s">
        <v>334</v>
      </c>
    </row>
    <row r="17" spans="1:7" x14ac:dyDescent="0.25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5">
      <c r="A18" s="71" t="s">
        <v>335</v>
      </c>
      <c r="B18" s="85"/>
      <c r="C18" s="97"/>
      <c r="D18" s="97"/>
      <c r="E18" s="97"/>
      <c r="F18" s="97"/>
      <c r="G18" s="97"/>
    </row>
    <row r="19" spans="1:7" x14ac:dyDescent="0.25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7734375" defaultRowHeight="13.2" x14ac:dyDescent="0.25"/>
  <cols>
    <col min="1" max="1" width="53" style="36" customWidth="1"/>
    <col min="2" max="2" width="30.5546875" style="36" customWidth="1"/>
    <col min="3" max="3" width="24.77734375" style="36" customWidth="1"/>
    <col min="4" max="4" width="15" style="81" customWidth="1"/>
    <col min="5" max="5" width="13.6640625" style="81" customWidth="1"/>
    <col min="6" max="6" width="14.44140625" style="81" customWidth="1"/>
    <col min="7" max="7" width="12.77734375" style="81" customWidth="1"/>
    <col min="8" max="8" width="17.5546875" style="81" customWidth="1"/>
    <col min="9" max="9" width="12.77734375" style="81" customWidth="1"/>
    <col min="10" max="16384" width="12.77734375" style="81"/>
  </cols>
  <sheetData>
    <row r="1" spans="1:8" x14ac:dyDescent="0.25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5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5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5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5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5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5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5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5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5">
      <c r="A55" s="111" t="s">
        <v>330</v>
      </c>
      <c r="B55" s="112"/>
      <c r="C55" s="112"/>
    </row>
    <row r="56" spans="1:8" x14ac:dyDescent="0.25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5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5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5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5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5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5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5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5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5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5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5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5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5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5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5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5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5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5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5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5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5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5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5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5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5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5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5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5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5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5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5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5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5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5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5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5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5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5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5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5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5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5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5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5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5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5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5">
      <c r="A110" s="111" t="s">
        <v>333</v>
      </c>
      <c r="B110" s="112"/>
      <c r="C110" s="112"/>
    </row>
    <row r="111" spans="1:8" x14ac:dyDescent="0.25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5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5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5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5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5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5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5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5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5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5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5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5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5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5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5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5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5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5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5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5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5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5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5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5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5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5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5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5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5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5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5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5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5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5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5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5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5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5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5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5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5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5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5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5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5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5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5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5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5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5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5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5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1" customWidth="1"/>
    <col min="2" max="2" width="27.44140625" style="81" customWidth="1"/>
    <col min="3" max="3" width="23.6640625" style="81" customWidth="1"/>
    <col min="4" max="7" width="17.21875" style="81" customWidth="1"/>
    <col min="8" max="8" width="12.77734375" style="81" customWidth="1"/>
    <col min="9" max="16384" width="12.77734375" style="81"/>
  </cols>
  <sheetData>
    <row r="1" spans="1:8" x14ac:dyDescent="0.25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5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5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5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5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5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5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5">
      <c r="A9" s="107" t="s">
        <v>330</v>
      </c>
    </row>
    <row r="10" spans="1:8" x14ac:dyDescent="0.25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5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5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5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5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5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5">
      <c r="A18" s="107" t="s">
        <v>333</v>
      </c>
    </row>
    <row r="19" spans="1:7" x14ac:dyDescent="0.25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5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5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5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5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5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5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2017-08-01T10:42:13Z</dcterms:created>
  <dcterms:modified xsi:type="dcterms:W3CDTF">2022-02-01T03:25:25Z</dcterms:modified>
</cp:coreProperties>
</file>