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7BF75D1B-4AB8-4D71-93DE-19FA0D42F4E0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H38" i="2"/>
  <c r="I38" i="2" s="1"/>
  <c r="G38" i="2"/>
  <c r="A35" i="2"/>
  <c r="A33" i="2"/>
  <c r="A31" i="2"/>
  <c r="A19" i="2"/>
  <c r="A17" i="2"/>
  <c r="A15" i="2"/>
  <c r="A12" i="2"/>
  <c r="H11" i="2"/>
  <c r="G11" i="2"/>
  <c r="H10" i="2"/>
  <c r="I10" i="2" s="1"/>
  <c r="G10" i="2"/>
  <c r="H9" i="2"/>
  <c r="G9" i="2"/>
  <c r="I9" i="2" s="1"/>
  <c r="H8" i="2"/>
  <c r="I8" i="2" s="1"/>
  <c r="G8" i="2"/>
  <c r="H7" i="2"/>
  <c r="G7" i="2"/>
  <c r="I7" i="2" s="1"/>
  <c r="I6" i="2"/>
  <c r="H6" i="2"/>
  <c r="G6" i="2"/>
  <c r="H5" i="2"/>
  <c r="G5" i="2"/>
  <c r="I5" i="2" s="1"/>
  <c r="H4" i="2"/>
  <c r="I4" i="2" s="1"/>
  <c r="G4" i="2"/>
  <c r="H3" i="2"/>
  <c r="G3" i="2"/>
  <c r="H2" i="2"/>
  <c r="I2" i="2" s="1"/>
  <c r="G2" i="2"/>
  <c r="A2" i="2"/>
  <c r="A32" i="2" s="1"/>
  <c r="C33" i="1"/>
  <c r="C20" i="1"/>
  <c r="I3" i="2" l="1"/>
  <c r="A23" i="2"/>
  <c r="A25" i="2"/>
  <c r="I39" i="2"/>
  <c r="I11" i="2"/>
  <c r="A27" i="2"/>
  <c r="A18" i="2"/>
  <c r="A26" i="2"/>
  <c r="A34" i="2"/>
  <c r="A39" i="2"/>
  <c r="A28" i="2"/>
  <c r="A13" i="2"/>
  <c r="A21" i="2"/>
  <c r="A29" i="2"/>
  <c r="A37" i="2"/>
  <c r="A20" i="2"/>
  <c r="A36" i="2"/>
  <c r="A14" i="2"/>
  <c r="A22" i="2"/>
  <c r="A30" i="2"/>
  <c r="A38" i="2"/>
  <c r="A40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<sst xmlns="http://schemas.openxmlformats.org/spreadsheetml/2006/main" count="2092" uniqueCount="337">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</sst>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50573.27978515625</v>
      </c>
    </row>
    <row r="8" spans="1:3" ht="15" customHeight="1" x14ac:dyDescent="0.25">
      <c r="B8" s="7" t="s">
        <v>19</v>
      </c>
      <c r="C8" s="46">
        <v>0.35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0.67868072509765598</v>
      </c>
    </row>
    <row r="11" spans="1:3" ht="15" customHeight="1" x14ac:dyDescent="0.25">
      <c r="B11" s="7" t="s">
        <v>22</v>
      </c>
      <c r="C11" s="46">
        <v>0.62</v>
      </c>
    </row>
    <row r="12" spans="1:3" ht="15" customHeight="1" x14ac:dyDescent="0.25">
      <c r="B12" s="7" t="s">
        <v>23</v>
      </c>
      <c r="C12" s="46">
        <v>0.51400000000000001</v>
      </c>
    </row>
    <row r="13" spans="1:3" ht="15" customHeight="1" x14ac:dyDescent="0.25">
      <c r="B13" s="7" t="s">
        <v>24</v>
      </c>
      <c r="C13" s="46">
        <v>0.52200000000000002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0.16</v>
      </c>
    </row>
    <row r="24" spans="1:3" ht="15" customHeight="1" x14ac:dyDescent="0.25">
      <c r="B24" s="12" t="s">
        <v>33</v>
      </c>
      <c r="C24" s="47">
        <v>0.51100000000000001</v>
      </c>
    </row>
    <row r="25" spans="1:3" ht="15" customHeight="1" x14ac:dyDescent="0.25">
      <c r="B25" s="12" t="s">
        <v>34</v>
      </c>
      <c r="C25" s="47">
        <v>0.26350000000000001</v>
      </c>
    </row>
    <row r="26" spans="1:3" ht="15" customHeight="1" x14ac:dyDescent="0.25">
      <c r="B26" s="12" t="s">
        <v>35</v>
      </c>
      <c r="C26" s="47">
        <v>6.5500000000000003E-2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0.35699999999999998</v>
      </c>
    </row>
    <row r="30" spans="1:3" ht="14.25" customHeight="1" x14ac:dyDescent="0.25">
      <c r="B30" s="22" t="s">
        <v>38</v>
      </c>
      <c r="C30" s="49">
        <v>6.6000000000000003E-2</v>
      </c>
    </row>
    <row r="31" spans="1:3" ht="14.25" customHeight="1" x14ac:dyDescent="0.25">
      <c r="B31" s="22" t="s">
        <v>39</v>
      </c>
      <c r="C31" s="49">
        <v>9.3000000000000013E-2</v>
      </c>
    </row>
    <row r="32" spans="1:3" ht="14.25" customHeight="1" x14ac:dyDescent="0.25">
      <c r="B32" s="22" t="s">
        <v>40</v>
      </c>
      <c r="C32" s="49">
        <v>0.48399999998509879</v>
      </c>
    </row>
    <row r="33" spans="1:5" ht="13.2" customHeight="1" x14ac:dyDescent="0.25">
      <c r="B33" s="24" t="s">
        <v>41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8.9823506031500795</v>
      </c>
    </row>
    <row r="38" spans="1:5" ht="15" customHeight="1" x14ac:dyDescent="0.25">
      <c r="B38" s="28" t="s">
        <v>45</v>
      </c>
      <c r="C38" s="117">
        <v>12.789775384217601</v>
      </c>
      <c r="D38" s="9"/>
      <c r="E38" s="10"/>
    </row>
    <row r="39" spans="1:5" ht="15" customHeight="1" x14ac:dyDescent="0.25">
      <c r="B39" s="28" t="s">
        <v>46</v>
      </c>
      <c r="C39" s="117">
        <v>14.8615274555791</v>
      </c>
      <c r="D39" s="9"/>
      <c r="E39" s="9"/>
    </row>
    <row r="40" spans="1:5" ht="15" customHeight="1" x14ac:dyDescent="0.25">
      <c r="B40" s="28" t="s">
        <v>47</v>
      </c>
      <c r="C40" s="117">
        <v>58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10.93543405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1.87084E-2</v>
      </c>
      <c r="D45" s="9"/>
    </row>
    <row r="46" spans="1:5" ht="15.75" customHeight="1" x14ac:dyDescent="0.25">
      <c r="B46" s="28" t="s">
        <v>52</v>
      </c>
      <c r="C46" s="47">
        <v>9.3109499999999998E-2</v>
      </c>
      <c r="D46" s="9"/>
    </row>
    <row r="47" spans="1:5" ht="15.75" customHeight="1" x14ac:dyDescent="0.25">
      <c r="B47" s="28" t="s">
        <v>53</v>
      </c>
      <c r="C47" s="47">
        <v>8.9780499999999999E-2</v>
      </c>
      <c r="D47" s="9"/>
      <c r="E47" s="10"/>
    </row>
    <row r="48" spans="1:5" ht="15" customHeight="1" x14ac:dyDescent="0.25">
      <c r="B48" s="28" t="s">
        <v>54</v>
      </c>
      <c r="C48" s="48">
        <v>0.79840159999999993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3.3</v>
      </c>
      <c r="D51" s="9"/>
    </row>
    <row r="52" spans="1:4" ht="15" customHeight="1" x14ac:dyDescent="0.25">
      <c r="B52" s="28" t="s">
        <v>57</v>
      </c>
      <c r="C52" s="51">
        <v>3.3</v>
      </c>
    </row>
    <row r="53" spans="1:4" ht="15.75" customHeight="1" x14ac:dyDescent="0.25">
      <c r="B53" s="28" t="s">
        <v>58</v>
      </c>
      <c r="C53" s="51">
        <v>3.3</v>
      </c>
    </row>
    <row r="54" spans="1:4" ht="15.75" customHeight="1" x14ac:dyDescent="0.25">
      <c r="B54" s="28" t="s">
        <v>59</v>
      </c>
      <c r="C54" s="51">
        <v>3.3</v>
      </c>
    </row>
    <row r="55" spans="1:4" ht="15.75" customHeight="1" x14ac:dyDescent="0.25">
      <c r="B55" s="28" t="s">
        <v>60</v>
      </c>
      <c r="C55" s="51">
        <v>3.3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2.1937842778793421E-2</v>
      </c>
    </row>
    <row r="59" spans="1:4" ht="15.75" customHeight="1" x14ac:dyDescent="0.25">
      <c r="B59" s="28" t="s">
        <v>63</v>
      </c>
      <c r="C59" s="46">
        <v>0.49608961199938661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14.6</v>
      </c>
    </row>
    <row r="63" spans="1:4" ht="15.75" customHeight="1" x14ac:dyDescent="0.25">
      <c r="A63" s="39"/>
    </row>
  </sheetData>
  <sheetProtection algorithmName="SHA-512" hashValue="KqQjK8fiM2qNhVbFgP+VTIbEKrae1tUlsLAvRScGKCu2yhHBQH4x+krjwpZAGUg26lS/AINXUfhAzBzn0t5AYg==" saltValue="4M4FnjlAwEcyGiYKu1Yr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0.1736695164</v>
      </c>
      <c r="C2" s="115">
        <v>0.95</v>
      </c>
      <c r="D2" s="116">
        <v>50.717962815851763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39.716252809925493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299.77526795353111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0.9696135924787419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12.84855225372141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12.84855225372141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12.84855225372141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12.84855225372141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12.84855225372141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12.84855225372141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0.55531805361675357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0.33777333333333298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</v>
      </c>
      <c r="C18" s="115">
        <v>0.95</v>
      </c>
      <c r="D18" s="116">
        <v>6.9453945454574351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</v>
      </c>
      <c r="C19" s="115">
        <v>0.95</v>
      </c>
      <c r="D19" s="116">
        <v>6.9453945454574351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0.77500000000000002</v>
      </c>
      <c r="C21" s="115">
        <v>0.95</v>
      </c>
      <c r="D21" s="116">
        <v>9.4911885685343371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22.086705401333919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4.1770706684296162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0.57994807749999999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0.10199999999999999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18.30380770317878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</v>
      </c>
      <c r="C29" s="115">
        <v>0.95</v>
      </c>
      <c r="D29" s="116">
        <v>96.960746737260479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2.3752360395467411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1.1755235646488491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0.88529564619426293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2.5879090305551942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0.73853786759911899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y9XpxZRVqpTTV+E5UPQgWoFfQzaCcbhLPi72Ih4nTTmRe81EeD8lV/kgw9kltjFsABGO6b3kyu+qjz7VqXE/zw==" saltValue="s44HPKjLukpXmp7c025Yv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yHaRWfsDSMrNpEmm++IHTcXm3gpzbNtSahHGcnkurrBXhuf0xG+MdwE/EjWjdwJp478f+ORd0BhWZx/mGMJHKQ==" saltValue="B6PiV7Qxu1eM0R8XGYsv/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NN+QiOpFizAB4GuvLcce/vyZPyPZp0bfXKHp/NadstUX2TA3jU3Q0Wr9s2HgslglUoBiDiLvZjh51ylu7Y9CyA==" saltValue="ZFh5clgaiSC/yE00VfzjO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5">
      <c r="A3" s="4" t="s">
        <v>209</v>
      </c>
      <c r="B3" s="18">
        <f>frac_mam_1month * 2.6</f>
        <v>0.19372297874347755</v>
      </c>
      <c r="C3" s="18">
        <f>frac_mam_1_5months * 2.6</f>
        <v>0.19372297874347755</v>
      </c>
      <c r="D3" s="18">
        <f>frac_mam_6_11months * 2.6</f>
        <v>0.27618170427677441</v>
      </c>
      <c r="E3" s="18">
        <f>frac_mam_12_23months * 2.6</f>
        <v>0.22045132160407122</v>
      </c>
      <c r="F3" s="18">
        <f>frac_mam_24_59months * 2.6</f>
        <v>0.12275080651566304</v>
      </c>
    </row>
    <row r="4" spans="1:6" ht="15.75" customHeight="1" x14ac:dyDescent="0.25">
      <c r="A4" s="4" t="s">
        <v>208</v>
      </c>
      <c r="B4" s="18">
        <f>frac_sam_1month * 2.6</f>
        <v>0.12945086201981754</v>
      </c>
      <c r="C4" s="18">
        <f>frac_sam_1_5months * 2.6</f>
        <v>0.12945086201981754</v>
      </c>
      <c r="D4" s="18">
        <f>frac_sam_6_11months * 2.6</f>
        <v>0.14373957704470494</v>
      </c>
      <c r="E4" s="18">
        <f>frac_sam_12_23months * 2.6</f>
        <v>0.11181692882896849</v>
      </c>
      <c r="F4" s="18">
        <f>frac_sam_24_59months * 2.6</f>
        <v>5.4633652019969628E-2</v>
      </c>
    </row>
  </sheetData>
  <sheetProtection algorithmName="SHA-512" hashValue="AMznFeCr06FGVpwvieBFZ/9w58+DI+KLVuidVfhO39YJlE5Duj+41OZ6uEL4iCObJFRGPwBOGbha6QV06xTt/A==" saltValue="5OpjSaJQDl03DLm30C6pP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0.35</v>
      </c>
      <c r="E2" s="65">
        <f>food_insecure</f>
        <v>0.35</v>
      </c>
      <c r="F2" s="65">
        <f>food_insecure</f>
        <v>0.35</v>
      </c>
      <c r="G2" s="65">
        <f>food_insecure</f>
        <v>0.35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0.35</v>
      </c>
      <c r="F5" s="65">
        <f>food_insecure</f>
        <v>0.35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0.35</v>
      </c>
      <c r="F8" s="65">
        <f>food_insecure</f>
        <v>0.35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0.35</v>
      </c>
      <c r="F9" s="65">
        <f>food_insecure</f>
        <v>0.35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0.51400000000000001</v>
      </c>
      <c r="E10" s="65">
        <f>IF(ISBLANK(comm_deliv), frac_children_health_facility,1)</f>
        <v>0.51400000000000001</v>
      </c>
      <c r="F10" s="65">
        <f>IF(ISBLANK(comm_deliv), frac_children_health_facility,1)</f>
        <v>0.51400000000000001</v>
      </c>
      <c r="G10" s="65">
        <f>IF(ISBLANK(comm_deliv), frac_children_health_facility,1)</f>
        <v>0.51400000000000001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0.35</v>
      </c>
      <c r="I15" s="65">
        <f>food_insecure</f>
        <v>0.35</v>
      </c>
      <c r="J15" s="65">
        <f>food_insecure</f>
        <v>0.35</v>
      </c>
      <c r="K15" s="65">
        <f>food_insecure</f>
        <v>0.35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0.62</v>
      </c>
      <c r="I18" s="65">
        <f>frac_PW_health_facility</f>
        <v>0.62</v>
      </c>
      <c r="J18" s="65">
        <f>frac_PW_health_facility</f>
        <v>0.62</v>
      </c>
      <c r="K18" s="65">
        <f>frac_PW_health_facility</f>
        <v>0.62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0.52200000000000002</v>
      </c>
      <c r="M24" s="65">
        <f>famplan_unmet_need</f>
        <v>0.52200000000000002</v>
      </c>
      <c r="N24" s="65">
        <f>famplan_unmet_need</f>
        <v>0.52200000000000002</v>
      </c>
      <c r="O24" s="65">
        <f>famplan_unmet_need</f>
        <v>0.52200000000000002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0.18106341140747084</v>
      </c>
      <c r="M25" s="65">
        <f>(1-food_insecure)*(0.49)+food_insecure*(0.7)</f>
        <v>0.5635</v>
      </c>
      <c r="N25" s="65">
        <f>(1-food_insecure)*(0.49)+food_insecure*(0.7)</f>
        <v>0.5635</v>
      </c>
      <c r="O25" s="65">
        <f>(1-food_insecure)*(0.49)+food_insecure*(0.7)</f>
        <v>0.5635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7.7598604888916081E-2</v>
      </c>
      <c r="M26" s="65">
        <f>(1-food_insecure)*(0.21)+food_insecure*(0.3)</f>
        <v>0.24149999999999999</v>
      </c>
      <c r="N26" s="65">
        <f>(1-food_insecure)*(0.21)+food_insecure*(0.3)</f>
        <v>0.24149999999999999</v>
      </c>
      <c r="O26" s="65">
        <f>(1-food_insecure)*(0.21)+food_insecure*(0.3)</f>
        <v>0.24149999999999999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6.2657258605957084E-2</v>
      </c>
      <c r="M27" s="65">
        <f>(1-food_insecure)*(0.3)</f>
        <v>0.19500000000000001</v>
      </c>
      <c r="N27" s="65">
        <f>(1-food_insecure)*(0.3)</f>
        <v>0.19500000000000001</v>
      </c>
      <c r="O27" s="65">
        <f>(1-food_insecure)*(0.3)</f>
        <v>0.19500000000000001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0.67868072509765598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6fmhWQq8XbmpjA+uH+ET+9McWy2jvvgLmo+CidlXkSCPWGAjM/ZXHBAk3RIdqkRqHIfZ1P97KeZa6HyGKuR6/g==" saltValue="TEc2CFa0PLNgTN15Cl5S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wnCHuMByLGo+SHK7od0hHplLCQ2Ar2CikK0k8yk1qUoTg491DE28Zc+dPyttBt9l4Z7mbA2H1bSwr6M+hNe5XA==" saltValue="tTd/NQ02zdbCQDz+1qurq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y/t/JRsqUV5wdM/SFFlMBajQT0qltJJ8jcFcrPQRtRt3yDbKGkEsLzcNExRNHB9ZFIoi9UgLvUInTKgy7uUVyg==" saltValue="a3RDeT+8QMQiz0Ficlea1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MP8Uj3sdx7y3ZazfzZZq9BxuOM7n+OsWYxFoQI0pLubnnTOFFxvLif3+2TRH9i7Q3Dn1G6YDPib+xersKCBjNQ==" saltValue="ll/UcIA4YC3b+cf9gYZbX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0xpz6ddl/tZa8SXqKZYZGwZc/G/BAIsNN9nXi9GuwCj2tkacr0cSMLJynSWj1nZB325pRVx1HU0i9P0shoQKUA==" saltValue="wpJff41XnbaFY6T5VDBw/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t7hkFUFjgRFBAm4l6onI7VXhihW+l5/Ro3R1SM0a2bYvrmgLLiWA8z9TjcI3s+edCJyDJzad4TpzJwDFLJ74XQ==" saltValue="qVojvj0NESsp2VeZaLDkI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11186.686</v>
      </c>
      <c r="C2" s="53">
        <v>27000</v>
      </c>
      <c r="D2" s="53">
        <v>56000</v>
      </c>
      <c r="E2" s="53">
        <v>45000</v>
      </c>
      <c r="F2" s="53">
        <v>29000</v>
      </c>
      <c r="G2" s="14">
        <f t="shared" ref="G2:G11" si="0">C2+D2+E2+F2</f>
        <v>157000</v>
      </c>
      <c r="H2" s="14">
        <f t="shared" ref="H2:H11" si="1">(B2 + stillbirth*B2/(1000-stillbirth))/(1-abortion)</f>
        <v>11855.73354618711</v>
      </c>
      <c r="I2" s="14">
        <f t="shared" ref="I2:I11" si="2">G2-H2</f>
        <v>145144.26645381289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11121.502</v>
      </c>
      <c r="C3" s="53">
        <v>27000</v>
      </c>
      <c r="D3" s="53">
        <v>56000</v>
      </c>
      <c r="E3" s="53">
        <v>47000</v>
      </c>
      <c r="F3" s="53">
        <v>29000</v>
      </c>
      <c r="G3" s="14">
        <f t="shared" si="0"/>
        <v>159000</v>
      </c>
      <c r="H3" s="14">
        <f t="shared" si="1"/>
        <v>11786.651055137065</v>
      </c>
      <c r="I3" s="14">
        <f t="shared" si="2"/>
        <v>147213.34894486293</v>
      </c>
    </row>
    <row r="4" spans="1:9" ht="15.75" customHeight="1" x14ac:dyDescent="0.25">
      <c r="A4" s="7">
        <f t="shared" si="3"/>
        <v>2023</v>
      </c>
      <c r="B4" s="52">
        <v>11051.46</v>
      </c>
      <c r="C4" s="53">
        <v>27000</v>
      </c>
      <c r="D4" s="53">
        <v>55000</v>
      </c>
      <c r="E4" s="53">
        <v>48000</v>
      </c>
      <c r="F4" s="53">
        <v>30000</v>
      </c>
      <c r="G4" s="14">
        <f t="shared" si="0"/>
        <v>160000</v>
      </c>
      <c r="H4" s="14">
        <f t="shared" si="1"/>
        <v>11712.420019328778</v>
      </c>
      <c r="I4" s="14">
        <f t="shared" si="2"/>
        <v>148287.57998067123</v>
      </c>
    </row>
    <row r="5" spans="1:9" ht="15.75" customHeight="1" x14ac:dyDescent="0.25">
      <c r="A5" s="7">
        <f t="shared" si="3"/>
        <v>2024</v>
      </c>
      <c r="B5" s="52">
        <v>10976.56</v>
      </c>
      <c r="C5" s="53">
        <v>27000</v>
      </c>
      <c r="D5" s="53">
        <v>55000</v>
      </c>
      <c r="E5" s="53">
        <v>50000</v>
      </c>
      <c r="F5" s="53">
        <v>32000</v>
      </c>
      <c r="G5" s="14">
        <f t="shared" si="0"/>
        <v>164000</v>
      </c>
      <c r="H5" s="14">
        <f t="shared" si="1"/>
        <v>11633.040438762253</v>
      </c>
      <c r="I5" s="14">
        <f t="shared" si="2"/>
        <v>152366.95956123775</v>
      </c>
    </row>
    <row r="6" spans="1:9" ht="15.75" customHeight="1" x14ac:dyDescent="0.25">
      <c r="A6" s="7">
        <f t="shared" si="3"/>
        <v>2025</v>
      </c>
      <c r="B6" s="52">
        <v>10896.802</v>
      </c>
      <c r="C6" s="53">
        <v>27000</v>
      </c>
      <c r="D6" s="53">
        <v>54000</v>
      </c>
      <c r="E6" s="53">
        <v>51000</v>
      </c>
      <c r="F6" s="53">
        <v>34000</v>
      </c>
      <c r="G6" s="14">
        <f t="shared" si="0"/>
        <v>166000</v>
      </c>
      <c r="H6" s="14">
        <f t="shared" si="1"/>
        <v>11548.512313437488</v>
      </c>
      <c r="I6" s="14">
        <f t="shared" si="2"/>
        <v>154451.48768656253</v>
      </c>
    </row>
    <row r="7" spans="1:9" ht="15.75" customHeight="1" x14ac:dyDescent="0.25">
      <c r="A7" s="7">
        <f t="shared" si="3"/>
        <v>2026</v>
      </c>
      <c r="B7" s="52">
        <v>10812.3078</v>
      </c>
      <c r="C7" s="53">
        <v>27000</v>
      </c>
      <c r="D7" s="53">
        <v>54000</v>
      </c>
      <c r="E7" s="53">
        <v>52000</v>
      </c>
      <c r="F7" s="53">
        <v>35000</v>
      </c>
      <c r="G7" s="14">
        <f t="shared" si="0"/>
        <v>168000</v>
      </c>
      <c r="H7" s="14">
        <f t="shared" si="1"/>
        <v>11458.964727906061</v>
      </c>
      <c r="I7" s="14">
        <f t="shared" si="2"/>
        <v>156541.03527209393</v>
      </c>
    </row>
    <row r="8" spans="1:9" ht="15.75" customHeight="1" x14ac:dyDescent="0.25">
      <c r="A8" s="7">
        <f t="shared" si="3"/>
        <v>2027</v>
      </c>
      <c r="B8" s="52">
        <v>10705.550999999999</v>
      </c>
      <c r="C8" s="53">
        <v>27000</v>
      </c>
      <c r="D8" s="53">
        <v>54000</v>
      </c>
      <c r="E8" s="53">
        <v>52000</v>
      </c>
      <c r="F8" s="53">
        <v>37000</v>
      </c>
      <c r="G8" s="14">
        <f t="shared" si="0"/>
        <v>170000</v>
      </c>
      <c r="H8" s="14">
        <f t="shared" si="1"/>
        <v>11345.823072276897</v>
      </c>
      <c r="I8" s="14">
        <f t="shared" si="2"/>
        <v>158654.17692772311</v>
      </c>
    </row>
    <row r="9" spans="1:9" ht="15.75" customHeight="1" x14ac:dyDescent="0.25">
      <c r="A9" s="7">
        <f t="shared" si="3"/>
        <v>2028</v>
      </c>
      <c r="B9" s="52">
        <v>10611.6932</v>
      </c>
      <c r="C9" s="53">
        <v>27000</v>
      </c>
      <c r="D9" s="53">
        <v>54000</v>
      </c>
      <c r="E9" s="53">
        <v>53000</v>
      </c>
      <c r="F9" s="53">
        <v>39000</v>
      </c>
      <c r="G9" s="14">
        <f t="shared" si="0"/>
        <v>173000</v>
      </c>
      <c r="H9" s="14">
        <f t="shared" si="1"/>
        <v>11246.351873386418</v>
      </c>
      <c r="I9" s="14">
        <f t="shared" si="2"/>
        <v>161753.64812661358</v>
      </c>
    </row>
    <row r="10" spans="1:9" ht="15.75" customHeight="1" x14ac:dyDescent="0.25">
      <c r="A10" s="7">
        <f t="shared" si="3"/>
        <v>2029</v>
      </c>
      <c r="B10" s="52">
        <v>10512.9802</v>
      </c>
      <c r="C10" s="53">
        <v>27000</v>
      </c>
      <c r="D10" s="53">
        <v>54000</v>
      </c>
      <c r="E10" s="53">
        <v>53000</v>
      </c>
      <c r="F10" s="53">
        <v>41000</v>
      </c>
      <c r="G10" s="14">
        <f t="shared" si="0"/>
        <v>175000</v>
      </c>
      <c r="H10" s="14">
        <f t="shared" si="1"/>
        <v>11141.735097198658</v>
      </c>
      <c r="I10" s="14">
        <f t="shared" si="2"/>
        <v>163858.26490280134</v>
      </c>
    </row>
    <row r="11" spans="1:9" ht="15.75" customHeight="1" x14ac:dyDescent="0.25">
      <c r="A11" s="7">
        <f t="shared" si="3"/>
        <v>2030</v>
      </c>
      <c r="B11" s="52">
        <v>10393.045</v>
      </c>
      <c r="C11" s="53">
        <v>27000</v>
      </c>
      <c r="D11" s="53">
        <v>53000</v>
      </c>
      <c r="E11" s="53">
        <v>54000</v>
      </c>
      <c r="F11" s="53">
        <v>43000</v>
      </c>
      <c r="G11" s="14">
        <f t="shared" si="0"/>
        <v>177000</v>
      </c>
      <c r="H11" s="14">
        <f t="shared" si="1"/>
        <v>11014.626874619724</v>
      </c>
      <c r="I11" s="14">
        <f t="shared" si="2"/>
        <v>165985.37312538028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7N+JIN6tY3iNXawtx5XBMDLKpbJQ2bn/PbFmBwqTWa7ID+fM/zd8VE/6xzGDWFzMZLopaUmlWtUVB1reDywYdg==" saltValue="tW1gSxOO+I0xOaC+7HzUU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zagTL7I1A1cdrnODMPUJsO22i0g2ThLY6omqtWfhwipNWDRDNAL3zdsCHNzYIBIPd4hkMpMQcuULvQeIFhQ6kg==" saltValue="2cU1JKItwe50KhVLazlOW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FObq5FvdcAvt2HOv1n/7qYIJLodFpL0m7ua4MyOh5VHWINie9KRcNxlicOCKmledrjy1WcRp77JR4npc12j7GA==" saltValue="o49xWTHVBtn2vO5C2e1L4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T6C72RfIe1G0JQg694DXrmI5HCi+O59OS59gl9MVGK/KTIf7/WnEQ+IplOuRCTvC/FQZ4t4qBt2t22CY0oC54w==" saltValue="oRKgImK3eMlZhH5lHXKf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sjrH0aGsK/4DIwBzZgl6s1TZtkGLMKMgqZbf+LIYphIqZNH/79cN8kJdG740k5tcY5P3jRghNsC2D3E8XL0R3g==" saltValue="mMfRKjuRxDXXPU7A+NeGa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jS9qKK96D8x0v5QLjmZRVWgXu2c84BBrG+/eVoLpE9FzQTqNSsRPCLg1qWUn0ug3/6YoPZuIo0lNotex8SLNpA==" saltValue="gqZ41eq6lPFSXebeSryqv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SZR5hsYh1XJdJu3zpKR38Me07VyVRbIlNSLiexqb9zRkpQsH2xyzLEwLwSf+Mv9vG8MmQopcbfUhrfRR7oR5Ug==" saltValue="z0ABNGjJElY2P3FvSgCnB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XB6PjKaVV1uSs5CTwQhjd1fauKoweXPjBwU8SCWbxzJXQFGeZCGiumirF0F21Z8CLzF6Gux28da9l5Yz3wlV5g==" saltValue="fwaKIN+L6fl28Mus2usx7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yXp0Hxr95VS2+y59jfD9OGA+Yc7gNRI9IFvgWim/MErlX34ksulMaL1hYUzmU10COScf3C3TpBWV6DANPAnsSg==" saltValue="PoomVJwIa9tZbtPUnPBS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zUXk/7gBfcv9pjIhRyjy7WUKJ06pLy9PxM/mXqezz7HNK/KR1lCSPOYksQFjSoLDIxKd3IncjRT1A/2MnQZMYQ==" saltValue="P+I2ABnfcZO9CMYLvLsb1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0</v>
      </c>
    </row>
    <row r="4" spans="1:8" ht="15.75" customHeight="1" x14ac:dyDescent="0.25">
      <c r="B4" s="16" t="s">
        <v>79</v>
      </c>
      <c r="C4" s="54">
        <v>9.9967548877928303E-2</v>
      </c>
    </row>
    <row r="5" spans="1:8" ht="15.75" customHeight="1" x14ac:dyDescent="0.25">
      <c r="B5" s="16" t="s">
        <v>80</v>
      </c>
      <c r="C5" s="54">
        <v>4.5855736954698113E-2</v>
      </c>
    </row>
    <row r="6" spans="1:8" ht="15.75" customHeight="1" x14ac:dyDescent="0.25">
      <c r="B6" s="16" t="s">
        <v>81</v>
      </c>
      <c r="C6" s="54">
        <v>0.15053620475370899</v>
      </c>
    </row>
    <row r="7" spans="1:8" ht="15.75" customHeight="1" x14ac:dyDescent="0.25">
      <c r="B7" s="16" t="s">
        <v>82</v>
      </c>
      <c r="C7" s="54">
        <v>0.37845561308485021</v>
      </c>
    </row>
    <row r="8" spans="1:8" ht="15.75" customHeight="1" x14ac:dyDescent="0.25">
      <c r="B8" s="16" t="s">
        <v>83</v>
      </c>
      <c r="C8" s="54">
        <v>6.6264308785834412E-3</v>
      </c>
    </row>
    <row r="9" spans="1:8" ht="15.75" customHeight="1" x14ac:dyDescent="0.25">
      <c r="B9" s="16" t="s">
        <v>84</v>
      </c>
      <c r="C9" s="54">
        <v>0.21690164009790761</v>
      </c>
    </row>
    <row r="10" spans="1:8" ht="15.75" customHeight="1" x14ac:dyDescent="0.25">
      <c r="B10" s="16" t="s">
        <v>85</v>
      </c>
      <c r="C10" s="54">
        <v>0.1016568253523232</v>
      </c>
    </row>
    <row r="11" spans="1:8" ht="15.75" customHeight="1" x14ac:dyDescent="0.25">
      <c r="B11" s="24" t="s">
        <v>41</v>
      </c>
      <c r="C11" s="50">
        <f>SUM(C3:C10)</f>
        <v>0.99999999999999978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8.8455425688648295E-2</v>
      </c>
      <c r="D14" s="54">
        <v>8.8455425688648295E-2</v>
      </c>
      <c r="E14" s="54">
        <v>8.8455425688648295E-2</v>
      </c>
      <c r="F14" s="54">
        <v>8.8455425688648295E-2</v>
      </c>
    </row>
    <row r="15" spans="1:8" ht="15.75" customHeight="1" x14ac:dyDescent="0.25">
      <c r="B15" s="16" t="s">
        <v>88</v>
      </c>
      <c r="C15" s="54">
        <v>0.21683388449278179</v>
      </c>
      <c r="D15" s="54">
        <v>0.21683388449278179</v>
      </c>
      <c r="E15" s="54">
        <v>0.21683388449278179</v>
      </c>
      <c r="F15" s="54">
        <v>0.21683388449278179</v>
      </c>
    </row>
    <row r="16" spans="1:8" ht="15.75" customHeight="1" x14ac:dyDescent="0.25">
      <c r="B16" s="16" t="s">
        <v>89</v>
      </c>
      <c r="C16" s="54">
        <v>2.2895643031463318E-2</v>
      </c>
      <c r="D16" s="54">
        <v>2.2895643031463318E-2</v>
      </c>
      <c r="E16" s="54">
        <v>2.2895643031463318E-2</v>
      </c>
      <c r="F16" s="54">
        <v>2.2895643031463318E-2</v>
      </c>
    </row>
    <row r="17" spans="1:8" ht="15.75" customHeight="1" x14ac:dyDescent="0.25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0.1027014168770197</v>
      </c>
      <c r="D19" s="54">
        <v>0.1027014168770197</v>
      </c>
      <c r="E19" s="54">
        <v>0.1027014168770197</v>
      </c>
      <c r="F19" s="54">
        <v>0.1027014168770197</v>
      </c>
    </row>
    <row r="20" spans="1:8" ht="15.75" customHeight="1" x14ac:dyDescent="0.25">
      <c r="B20" s="16" t="s">
        <v>93</v>
      </c>
      <c r="C20" s="54">
        <v>2.9908649689179889E-2</v>
      </c>
      <c r="D20" s="54">
        <v>2.9908649689179889E-2</v>
      </c>
      <c r="E20" s="54">
        <v>2.9908649689179889E-2</v>
      </c>
      <c r="F20" s="54">
        <v>2.9908649689179889E-2</v>
      </c>
    </row>
    <row r="21" spans="1:8" ht="15.75" customHeight="1" x14ac:dyDescent="0.25">
      <c r="B21" s="16" t="s">
        <v>94</v>
      </c>
      <c r="C21" s="54">
        <v>0.10762007715916989</v>
      </c>
      <c r="D21" s="54">
        <v>0.10762007715916989</v>
      </c>
      <c r="E21" s="54">
        <v>0.10762007715916989</v>
      </c>
      <c r="F21" s="54">
        <v>0.10762007715916989</v>
      </c>
    </row>
    <row r="22" spans="1:8" ht="15.75" customHeight="1" x14ac:dyDescent="0.25">
      <c r="B22" s="16" t="s">
        <v>95</v>
      </c>
      <c r="C22" s="54">
        <v>0.43158490306173702</v>
      </c>
      <c r="D22" s="54">
        <v>0.43158490306173702</v>
      </c>
      <c r="E22" s="54">
        <v>0.43158490306173702</v>
      </c>
      <c r="F22" s="54">
        <v>0.43158490306173702</v>
      </c>
    </row>
    <row r="23" spans="1:8" ht="15.75" customHeight="1" x14ac:dyDescent="0.25">
      <c r="B23" s="24" t="s">
        <v>41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8.8599999999999998E-2</v>
      </c>
    </row>
    <row r="27" spans="1:8" ht="15.75" customHeight="1" x14ac:dyDescent="0.25">
      <c r="B27" s="16" t="s">
        <v>102</v>
      </c>
      <c r="C27" s="54">
        <v>8.3000000000000001E-3</v>
      </c>
    </row>
    <row r="28" spans="1:8" ht="15.75" customHeight="1" x14ac:dyDescent="0.25">
      <c r="B28" s="16" t="s">
        <v>103</v>
      </c>
      <c r="C28" s="54">
        <v>0.15770000000000001</v>
      </c>
    </row>
    <row r="29" spans="1:8" ht="15.75" customHeight="1" x14ac:dyDescent="0.25">
      <c r="B29" s="16" t="s">
        <v>104</v>
      </c>
      <c r="C29" s="54">
        <v>0.16880000000000001</v>
      </c>
    </row>
    <row r="30" spans="1:8" ht="15.75" customHeight="1" x14ac:dyDescent="0.25">
      <c r="B30" s="16" t="s">
        <v>2</v>
      </c>
      <c r="C30" s="54">
        <v>0.10639999999999999</v>
      </c>
    </row>
    <row r="31" spans="1:8" ht="15.75" customHeight="1" x14ac:dyDescent="0.25">
      <c r="B31" s="16" t="s">
        <v>105</v>
      </c>
      <c r="C31" s="54">
        <v>0.10920000000000001</v>
      </c>
    </row>
    <row r="32" spans="1:8" ht="15.75" customHeight="1" x14ac:dyDescent="0.25">
      <c r="B32" s="16" t="s">
        <v>106</v>
      </c>
      <c r="C32" s="54">
        <v>1.8800000000000001E-2</v>
      </c>
    </row>
    <row r="33" spans="2:3" ht="15.75" customHeight="1" x14ac:dyDescent="0.25">
      <c r="B33" s="16" t="s">
        <v>107</v>
      </c>
      <c r="C33" s="54">
        <v>8.4600000000000009E-2</v>
      </c>
    </row>
    <row r="34" spans="2:3" ht="15.75" customHeight="1" x14ac:dyDescent="0.25">
      <c r="B34" s="16" t="s">
        <v>108</v>
      </c>
      <c r="C34" s="54">
        <v>0.25759999999776478</v>
      </c>
    </row>
    <row r="35" spans="2:3" ht="15.75" customHeight="1" x14ac:dyDescent="0.25">
      <c r="B35" s="24" t="s">
        <v>41</v>
      </c>
      <c r="C35" s="50">
        <f>SUM(C26:C34)</f>
        <v>0.9999999999977649</v>
      </c>
    </row>
  </sheetData>
  <sheetProtection algorithmName="SHA-512" hashValue="qgyB8NTVTcekudZEysnemZdg7vwHMlWBxtyvDPpj9EhvTh1jkIXm9O4dIB9OLu8qH3Fp702ZyUs/jpg5cRpEOA==" saltValue="4FWzshFWvo+fU6IOMFxdM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0.66762560622730005</v>
      </c>
      <c r="D2" s="55">
        <v>0.66762560622730005</v>
      </c>
      <c r="E2" s="55">
        <v>0.59500372526799405</v>
      </c>
      <c r="F2" s="55">
        <v>0.38100949701634901</v>
      </c>
      <c r="G2" s="55">
        <v>0.34484494435970198</v>
      </c>
    </row>
    <row r="3" spans="1:15" ht="15.75" customHeight="1" x14ac:dyDescent="0.25">
      <c r="B3" s="7" t="s">
        <v>113</v>
      </c>
      <c r="C3" s="55">
        <v>0.18074881912020599</v>
      </c>
      <c r="D3" s="55">
        <v>0.18074881912020599</v>
      </c>
      <c r="E3" s="55">
        <v>0.218678200900393</v>
      </c>
      <c r="F3" s="55">
        <v>0.26947406453628497</v>
      </c>
      <c r="G3" s="55">
        <v>0.27324676782687402</v>
      </c>
    </row>
    <row r="4" spans="1:15" ht="15.75" customHeight="1" x14ac:dyDescent="0.25">
      <c r="B4" s="7" t="s">
        <v>114</v>
      </c>
      <c r="C4" s="56">
        <v>8.58190532050008E-2</v>
      </c>
      <c r="D4" s="56">
        <v>8.58190532050008E-2</v>
      </c>
      <c r="E4" s="56">
        <v>0.10849992686993</v>
      </c>
      <c r="F4" s="56">
        <v>0.196529120835613</v>
      </c>
      <c r="G4" s="56">
        <v>0.203917682529314</v>
      </c>
    </row>
    <row r="5" spans="1:15" ht="15.75" customHeight="1" x14ac:dyDescent="0.25">
      <c r="B5" s="7" t="s">
        <v>115</v>
      </c>
      <c r="C5" s="56">
        <v>6.5806520641967403E-2</v>
      </c>
      <c r="D5" s="56">
        <v>6.5806520641967403E-2</v>
      </c>
      <c r="E5" s="56">
        <v>7.7818143807935905E-2</v>
      </c>
      <c r="F5" s="56">
        <v>0.15298731887004799</v>
      </c>
      <c r="G5" s="56">
        <v>0.17799060439855399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0.71073279633790098</v>
      </c>
      <c r="D8" s="55">
        <v>0.71073279633790098</v>
      </c>
      <c r="E8" s="55">
        <v>0.61423573562775802</v>
      </c>
      <c r="F8" s="55">
        <v>0.65589780098569705</v>
      </c>
      <c r="G8" s="55">
        <v>0.76233278942657601</v>
      </c>
    </row>
    <row r="9" spans="1:15" ht="15.75" customHeight="1" x14ac:dyDescent="0.25">
      <c r="B9" s="7" t="s">
        <v>118</v>
      </c>
      <c r="C9" s="55">
        <v>0.164969570014246</v>
      </c>
      <c r="D9" s="55">
        <v>0.164969570014246</v>
      </c>
      <c r="E9" s="55">
        <v>0.22425607814307499</v>
      </c>
      <c r="F9" s="55">
        <v>0.216306716798184</v>
      </c>
      <c r="G9" s="55">
        <v>0.16944242158688899</v>
      </c>
    </row>
    <row r="10" spans="1:15" ht="15.75" customHeight="1" x14ac:dyDescent="0.25">
      <c r="B10" s="7" t="s">
        <v>119</v>
      </c>
      <c r="C10" s="56">
        <v>7.4508837978260592E-2</v>
      </c>
      <c r="D10" s="56">
        <v>7.4508837978260592E-2</v>
      </c>
      <c r="E10" s="56">
        <v>0.106223732414144</v>
      </c>
      <c r="F10" s="56">
        <v>8.4788969847719692E-2</v>
      </c>
      <c r="G10" s="56">
        <v>4.7211848659870402E-2</v>
      </c>
    </row>
    <row r="11" spans="1:15" ht="15.75" customHeight="1" x14ac:dyDescent="0.25">
      <c r="B11" s="7" t="s">
        <v>120</v>
      </c>
      <c r="C11" s="56">
        <v>4.9788793084545202E-2</v>
      </c>
      <c r="D11" s="56">
        <v>4.9788793084545202E-2</v>
      </c>
      <c r="E11" s="56">
        <v>5.5284452709501899E-2</v>
      </c>
      <c r="F11" s="56">
        <v>4.3006511088064803E-2</v>
      </c>
      <c r="G11" s="56">
        <v>2.1012943084603702E-2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0.46033876800000001</v>
      </c>
      <c r="D14" s="57">
        <v>0.44014876555400001</v>
      </c>
      <c r="E14" s="57">
        <v>0.44014876555400001</v>
      </c>
      <c r="F14" s="57">
        <v>0.382676710483</v>
      </c>
      <c r="G14" s="57">
        <v>0.382676710483</v>
      </c>
      <c r="H14" s="58">
        <v>0.42899999999999999</v>
      </c>
      <c r="I14" s="58">
        <v>0.42899999999999999</v>
      </c>
      <c r="J14" s="58">
        <v>0.42899999999999999</v>
      </c>
      <c r="K14" s="58">
        <v>0.42899999999999999</v>
      </c>
      <c r="L14" s="58">
        <v>0.23255808934700001</v>
      </c>
      <c r="M14" s="58">
        <v>0.21344194763999999</v>
      </c>
      <c r="N14" s="58">
        <v>0.206722244242</v>
      </c>
      <c r="O14" s="58">
        <v>0.21814035192949999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0.22836928080539565</v>
      </c>
      <c r="D15" s="55">
        <f t="shared" si="0"/>
        <v>0.21835323032569284</v>
      </c>
      <c r="E15" s="55">
        <f t="shared" si="0"/>
        <v>0.21835323032569284</v>
      </c>
      <c r="F15" s="55">
        <f t="shared" si="0"/>
        <v>0.18984194082471309</v>
      </c>
      <c r="G15" s="55">
        <f t="shared" si="0"/>
        <v>0.18984194082471309</v>
      </c>
      <c r="H15" s="55">
        <f t="shared" si="0"/>
        <v>0.21282244354773686</v>
      </c>
      <c r="I15" s="55">
        <f t="shared" si="0"/>
        <v>0.21282244354773686</v>
      </c>
      <c r="J15" s="55">
        <f t="shared" si="0"/>
        <v>0.21282244354773686</v>
      </c>
      <c r="K15" s="55">
        <f t="shared" si="0"/>
        <v>0.21282244354773686</v>
      </c>
      <c r="L15" s="55">
        <f t="shared" si="0"/>
        <v>0.11536965231147192</v>
      </c>
      <c r="M15" s="55">
        <f t="shared" si="0"/>
        <v>0.10588633298912099</v>
      </c>
      <c r="N15" s="55">
        <f t="shared" si="0"/>
        <v>0.10255275793765621</v>
      </c>
      <c r="O15" s="55">
        <f t="shared" si="0"/>
        <v>0.10821716255011529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iHlvplcIUo97gj++c/gYVzimzizL4ZZwc5Ka08P86XPxn9VNEUpnNmkayGcssA26A3xPtAHE+eC3Jw2VZkKurw==" saltValue="90T5CR0zF0kQulpD1pQT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9.2236928641796098E-2</v>
      </c>
      <c r="D2" s="56">
        <v>6.3108289999999997E-2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0.113897509872913</v>
      </c>
      <c r="D3" s="56">
        <v>0.11909740000000001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0.14785376191139199</v>
      </c>
      <c r="D4" s="56">
        <v>0.43906440000000002</v>
      </c>
      <c r="E4" s="56">
        <v>0.83675640821456898</v>
      </c>
      <c r="F4" s="56">
        <v>0.38914692401885997</v>
      </c>
      <c r="G4" s="56">
        <v>0</v>
      </c>
    </row>
    <row r="5" spans="1:7" x14ac:dyDescent="0.25">
      <c r="B5" s="98" t="s">
        <v>132</v>
      </c>
      <c r="C5" s="55">
        <v>0.64601179957389898</v>
      </c>
      <c r="D5" s="55">
        <v>0.37872991</v>
      </c>
      <c r="E5" s="55">
        <v>0.1632435917854311</v>
      </c>
      <c r="F5" s="55">
        <v>0.61085307598114003</v>
      </c>
      <c r="G5" s="55">
        <v>1</v>
      </c>
    </row>
  </sheetData>
  <sheetProtection algorithmName="SHA-512" hashValue="5Hjiywr6Hx2s9Jf/NQPWzWpdVtW/oD7jebeMAz6C4pIdIZzdaHQzmWDf6LoUrfsVG86k3jiyQG4NfCF9861JbA==" saltValue="AANjkz1VR7666mf4jMta9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miEsJxGlp9D9Mt9rEc+ZH1VCfxSQF6ruQH1vL3qknioJbBXIexBSvxEFSLNRasLyYYBV1fEWY/e0H+Or5dLRag==" saltValue="AxYfQlQoLSBdW1IN/vnrZ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B5T5mtMumYZTTwfsAwtmSlpcIj10UbpkdDfeiXmrA8Xbe1tzxnA34UC5zi30uPh8lKFRAKk9BFyQJFmDa8CBDQ==" saltValue="hypGJS0L3bMPNg7jt7rh6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ntH6n6LHHWVilRwp3x0LwI7YhIiysR2iAB3jbyYk1zXCzUuALzrvPy3w719h0CM1USdWujPsMmIcjjLmV1QPfg==" saltValue="N+qK59BGUXdzIjh845YP0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+oVQ+qS1hX0W6nVkonWTfATVJQ6FArYgcz2uY92m8YgG1o62kOER7gn+mags5cWt0CvCEGbxXV+Eottbep+7XA==" saltValue="MPbmy1WYVgq9V6mr73L6Y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2022-02-01T03:44:33Z</dcterms:modified>
</cp:coreProperties>
</file>