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495241C-29B2-4162-BF7D-29D6EBFC883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0" i="2"/>
  <c r="A27" i="2"/>
  <c r="A26" i="2"/>
  <c r="A25" i="2"/>
  <c r="A17" i="2"/>
  <c r="A15" i="2"/>
  <c r="A14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18" i="2" l="1"/>
  <c r="A31" i="2"/>
  <c r="A39" i="2"/>
  <c r="A19" i="2"/>
  <c r="A33" i="2"/>
  <c r="A22" i="2"/>
  <c r="A34" i="2"/>
  <c r="I3" i="2"/>
  <c r="I7" i="2"/>
  <c r="I11" i="2"/>
  <c r="A23" i="2"/>
  <c r="A35" i="2"/>
  <c r="A40" i="2"/>
  <c r="A36" i="2"/>
  <c r="A12" i="2"/>
  <c r="A20" i="2"/>
  <c r="A28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<sst xmlns="http://schemas.openxmlformats.org/spreadsheetml/2006/main" count="2092" uniqueCount="337">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</sst>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17084660.125</v>
      </c>
    </row>
    <row r="8" spans="1:3" ht="15" customHeight="1" x14ac:dyDescent="0.25">
      <c r="B8" s="7" t="s">
        <v>19</v>
      </c>
      <c r="C8" s="46">
        <v>0.23499999999999999</v>
      </c>
    </row>
    <row r="9" spans="1:3" ht="15" customHeight="1" x14ac:dyDescent="0.25">
      <c r="B9" s="7" t="s">
        <v>20</v>
      </c>
      <c r="C9" s="47">
        <v>0.14000000000000001</v>
      </c>
    </row>
    <row r="10" spans="1:3" ht="15" customHeight="1" x14ac:dyDescent="0.25">
      <c r="B10" s="7" t="s">
        <v>21</v>
      </c>
      <c r="C10" s="47">
        <v>0.30406169891357399</v>
      </c>
    </row>
    <row r="11" spans="1:3" ht="15" customHeight="1" x14ac:dyDescent="0.25">
      <c r="B11" s="7" t="s">
        <v>22</v>
      </c>
      <c r="C11" s="46">
        <v>0.318</v>
      </c>
    </row>
    <row r="12" spans="1:3" ht="15" customHeight="1" x14ac:dyDescent="0.25">
      <c r="B12" s="7" t="s">
        <v>23</v>
      </c>
      <c r="C12" s="46">
        <v>0.313</v>
      </c>
    </row>
    <row r="13" spans="1:3" ht="15" customHeight="1" x14ac:dyDescent="0.25">
      <c r="B13" s="7" t="s">
        <v>24</v>
      </c>
      <c r="C13" s="46">
        <v>0.40600000000000003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8.4900000000000003E-2</v>
      </c>
    </row>
    <row r="24" spans="1:3" ht="15" customHeight="1" x14ac:dyDescent="0.25">
      <c r="B24" s="12" t="s">
        <v>33</v>
      </c>
      <c r="C24" s="47">
        <v>0.46400000000000002</v>
      </c>
    </row>
    <row r="25" spans="1:3" ht="15" customHeight="1" x14ac:dyDescent="0.25">
      <c r="B25" s="12" t="s">
        <v>34</v>
      </c>
      <c r="C25" s="47">
        <v>0.35129999999999989</v>
      </c>
    </row>
    <row r="26" spans="1:3" ht="15" customHeight="1" x14ac:dyDescent="0.25">
      <c r="B26" s="12" t="s">
        <v>35</v>
      </c>
      <c r="C26" s="47">
        <v>9.98E-2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0.192</v>
      </c>
    </row>
    <row r="30" spans="1:3" ht="14.25" customHeight="1" x14ac:dyDescent="0.25">
      <c r="B30" s="22" t="s">
        <v>38</v>
      </c>
      <c r="C30" s="49">
        <v>6.9000000000000006E-2</v>
      </c>
    </row>
    <row r="31" spans="1:3" ht="14.25" customHeight="1" x14ac:dyDescent="0.25">
      <c r="B31" s="22" t="s">
        <v>39</v>
      </c>
      <c r="C31" s="49">
        <v>0.122</v>
      </c>
    </row>
    <row r="32" spans="1:3" ht="14.25" customHeight="1" x14ac:dyDescent="0.25">
      <c r="B32" s="22" t="s">
        <v>40</v>
      </c>
      <c r="C32" s="49">
        <v>0.6169999999850988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27.621025084636901</v>
      </c>
    </row>
    <row r="38" spans="1:5" ht="15" customHeight="1" x14ac:dyDescent="0.25">
      <c r="B38" s="28" t="s">
        <v>45</v>
      </c>
      <c r="C38" s="117">
        <v>36.549012265390999</v>
      </c>
      <c r="D38" s="9"/>
      <c r="E38" s="10"/>
    </row>
    <row r="39" spans="1:5" ht="15" customHeight="1" x14ac:dyDescent="0.25">
      <c r="B39" s="28" t="s">
        <v>46</v>
      </c>
      <c r="C39" s="117">
        <v>50.735712442090602</v>
      </c>
      <c r="D39" s="9"/>
      <c r="E39" s="9"/>
    </row>
    <row r="40" spans="1:5" ht="15" customHeight="1" x14ac:dyDescent="0.25">
      <c r="B40" s="28" t="s">
        <v>47</v>
      </c>
      <c r="C40" s="117">
        <v>401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24.614252669999999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1.6188899999999999E-2</v>
      </c>
      <c r="D45" s="9"/>
    </row>
    <row r="46" spans="1:5" ht="15.75" customHeight="1" x14ac:dyDescent="0.25">
      <c r="B46" s="28" t="s">
        <v>52</v>
      </c>
      <c r="C46" s="47">
        <v>8.4631999999999999E-2</v>
      </c>
      <c r="D46" s="9"/>
    </row>
    <row r="47" spans="1:5" ht="15.75" customHeight="1" x14ac:dyDescent="0.25">
      <c r="B47" s="28" t="s">
        <v>53</v>
      </c>
      <c r="C47" s="47">
        <v>0.30455729999999998</v>
      </c>
      <c r="D47" s="9"/>
      <c r="E47" s="10"/>
    </row>
    <row r="48" spans="1:5" ht="15" customHeight="1" x14ac:dyDescent="0.25">
      <c r="B48" s="28" t="s">
        <v>54</v>
      </c>
      <c r="C48" s="48">
        <v>0.59462179999999998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0.51705803850179199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9ifxmnMDqbJW/4toq0598T/fn987PXgBVcA1B3QJiGbDPzH7w+ZC7cLLmVgTX5f6V3jJOClQB/NnQXh5Qh8WhA==" saltValue="wiqgljbL+kHW65aubelY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0.10261333321183801</v>
      </c>
      <c r="C2" s="115">
        <v>0.95</v>
      </c>
      <c r="D2" s="116">
        <v>36.104865630041672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47.391762786682577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70.675747512215978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0.1529754384232421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15.05101211717766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15.05101211717766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15.05101211717766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15.05101211717766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15.05101211717766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15.05101211717766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1.057E-2</v>
      </c>
      <c r="C16" s="115">
        <v>0.95</v>
      </c>
      <c r="D16" s="116">
        <v>0.25353452797983911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0.13494430539999999</v>
      </c>
      <c r="C18" s="115">
        <v>0.95</v>
      </c>
      <c r="D18" s="116">
        <v>1.7327840647821271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0.13494430539999999</v>
      </c>
      <c r="C19" s="115">
        <v>0.95</v>
      </c>
      <c r="D19" s="116">
        <v>1.7327840647821271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0.47541728970000002</v>
      </c>
      <c r="C21" s="115">
        <v>0.95</v>
      </c>
      <c r="D21" s="116">
        <v>1.648928588690538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25.652464004019169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4.9325180741630454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0.35576431377003298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0.10605239869999999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21.746117356862921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0.332870572805405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0.13800000000000001</v>
      </c>
      <c r="C29" s="115">
        <v>0.95</v>
      </c>
      <c r="D29" s="116">
        <v>63.608546888725961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2.179529460069769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0.48159678577230752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0.3690458298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0.70499999999999996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0.360313751647584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7.9603897470718804E-2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3.993553334710461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7.3163328954350099E-2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+jI1Oi3LtWy1MzNgF5ByTIsUE9O6VidjaXSs7MK+q1V91mJA8+9GY+hag4Sl9+vYXMvDXUTyYmbezDGxXK8sgw==" saltValue="3kxvatFXOCVotdn60laq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CTK1h8iml1jGJX8R6DHEidl3BPVp82saMz3vNgdWWD/qXIncAOijVNSIGh4t1yE3dWz1585KQCo/ZhgqgGynnA==" saltValue="+BZLyzHi5/npYtWZiZVt9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I6z4dh0Etvnpn2JvYphYv36pHroRxprfDfBMm/RlW9ujFJJaptvYxIEuFOGa+gxRPd7iiVcF9t2gjS5vifPwXA==" saltValue="8+BSHuL+sXtaw4FgJ5CG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0.21583315780000004</v>
      </c>
      <c r="C3" s="18">
        <f>frac_mam_1_5months * 2.6</f>
        <v>0.21583315780000004</v>
      </c>
      <c r="D3" s="18">
        <f>frac_mam_6_11months * 2.6</f>
        <v>0.14125982520000002</v>
      </c>
      <c r="E3" s="18">
        <f>frac_mam_12_23months * 2.6</f>
        <v>0.17237377820000002</v>
      </c>
      <c r="F3" s="18">
        <f>frac_mam_24_59months * 2.6</f>
        <v>0.14118899600000001</v>
      </c>
    </row>
    <row r="4" spans="1:6" ht="15.75" customHeight="1" x14ac:dyDescent="0.25">
      <c r="A4" s="4" t="s">
        <v>208</v>
      </c>
      <c r="B4" s="18">
        <f>frac_sam_1month * 2.6</f>
        <v>3.0770805000000002E-2</v>
      </c>
      <c r="C4" s="18">
        <f>frac_sam_1_5months * 2.6</f>
        <v>3.0770805000000002E-2</v>
      </c>
      <c r="D4" s="18">
        <f>frac_sam_6_11months * 2.6</f>
        <v>2.2130773340000003E-2</v>
      </c>
      <c r="E4" s="18">
        <f>frac_sam_12_23months * 2.6</f>
        <v>3.45772648E-2</v>
      </c>
      <c r="F4" s="18">
        <f>frac_sam_24_59months * 2.6</f>
        <v>3.1989497800000002E-2</v>
      </c>
    </row>
  </sheetData>
  <sheetProtection algorithmName="SHA-512" hashValue="yPQvI0Pk2wmm/r3L1q9MIRMIbceYsI3PqefO+ChiLyHfu0oZikLl8yrJEJsRU5zqlOHtaKfKxKMgjxR9lbs/UQ==" saltValue="YCSheFc8QsloLvyPg8Ip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0.23499999999999999</v>
      </c>
      <c r="E2" s="65">
        <f>food_insecure</f>
        <v>0.23499999999999999</v>
      </c>
      <c r="F2" s="65">
        <f>food_insecure</f>
        <v>0.23499999999999999</v>
      </c>
      <c r="G2" s="65">
        <f>food_insecure</f>
        <v>0.23499999999999999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0.23499999999999999</v>
      </c>
      <c r="F5" s="65">
        <f>food_insecure</f>
        <v>0.23499999999999999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0.23499999999999999</v>
      </c>
      <c r="F8" s="65">
        <f>food_insecure</f>
        <v>0.23499999999999999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0.23499999999999999</v>
      </c>
      <c r="F9" s="65">
        <f>food_insecure</f>
        <v>0.23499999999999999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0.313</v>
      </c>
      <c r="E10" s="65">
        <f>IF(ISBLANK(comm_deliv), frac_children_health_facility,1)</f>
        <v>0.313</v>
      </c>
      <c r="F10" s="65">
        <f>IF(ISBLANK(comm_deliv), frac_children_health_facility,1)</f>
        <v>0.313</v>
      </c>
      <c r="G10" s="65">
        <f>IF(ISBLANK(comm_deliv), frac_children_health_facility,1)</f>
        <v>0.313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0.23499999999999999</v>
      </c>
      <c r="I15" s="65">
        <f>food_insecure</f>
        <v>0.23499999999999999</v>
      </c>
      <c r="J15" s="65">
        <f>food_insecure</f>
        <v>0.23499999999999999</v>
      </c>
      <c r="K15" s="65">
        <f>food_insecure</f>
        <v>0.23499999999999999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0.318</v>
      </c>
      <c r="I18" s="65">
        <f>frac_PW_health_facility</f>
        <v>0.318</v>
      </c>
      <c r="J18" s="65">
        <f>frac_PW_health_facility</f>
        <v>0.318</v>
      </c>
      <c r="K18" s="65">
        <f>frac_PW_health_facility</f>
        <v>0.318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0.14000000000000001</v>
      </c>
      <c r="I19" s="65">
        <f>frac_malaria_risk</f>
        <v>0.14000000000000001</v>
      </c>
      <c r="J19" s="65">
        <f>frac_malaria_risk</f>
        <v>0.14000000000000001</v>
      </c>
      <c r="K19" s="65">
        <f>frac_malaria_risk</f>
        <v>0.14000000000000001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0.40600000000000003</v>
      </c>
      <c r="M24" s="65">
        <f>famplan_unmet_need</f>
        <v>0.40600000000000003</v>
      </c>
      <c r="N24" s="65">
        <f>famplan_unmet_need</f>
        <v>0.40600000000000003</v>
      </c>
      <c r="O24" s="65">
        <f>famplan_unmet_need</f>
        <v>0.40600000000000003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0.37535432269096386</v>
      </c>
      <c r="M25" s="65">
        <f>(1-food_insecure)*(0.49)+food_insecure*(0.7)</f>
        <v>0.53935</v>
      </c>
      <c r="N25" s="65">
        <f>(1-food_insecure)*(0.49)+food_insecure*(0.7)</f>
        <v>0.53935</v>
      </c>
      <c r="O25" s="65">
        <f>(1-food_insecure)*(0.49)+food_insecure*(0.7)</f>
        <v>0.53935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0.16086613829612734</v>
      </c>
      <c r="M26" s="65">
        <f>(1-food_insecure)*(0.21)+food_insecure*(0.3)</f>
        <v>0.23114999999999997</v>
      </c>
      <c r="N26" s="65">
        <f>(1-food_insecure)*(0.21)+food_insecure*(0.3)</f>
        <v>0.23114999999999997</v>
      </c>
      <c r="O26" s="65">
        <f>(1-food_insecure)*(0.21)+food_insecure*(0.3)</f>
        <v>0.23114999999999997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0.15971784009933473</v>
      </c>
      <c r="M27" s="65">
        <f>(1-food_insecure)*(0.3)</f>
        <v>0.22949999999999998</v>
      </c>
      <c r="N27" s="65">
        <f>(1-food_insecure)*(0.3)</f>
        <v>0.22949999999999998</v>
      </c>
      <c r="O27" s="65">
        <f>(1-food_insecure)*(0.3)</f>
        <v>0.22949999999999998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0.30406169891357399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0.14000000000000001</v>
      </c>
      <c r="D34" s="65">
        <f t="shared" si="3"/>
        <v>0.14000000000000001</v>
      </c>
      <c r="E34" s="65">
        <f t="shared" si="3"/>
        <v>0.14000000000000001</v>
      </c>
      <c r="F34" s="65">
        <f t="shared" si="3"/>
        <v>0.14000000000000001</v>
      </c>
      <c r="G34" s="65">
        <f t="shared" si="3"/>
        <v>0.14000000000000001</v>
      </c>
      <c r="H34" s="65">
        <f t="shared" si="3"/>
        <v>0.14000000000000001</v>
      </c>
      <c r="I34" s="65">
        <f t="shared" si="3"/>
        <v>0.14000000000000001</v>
      </c>
      <c r="J34" s="65">
        <f t="shared" si="3"/>
        <v>0.14000000000000001</v>
      </c>
      <c r="K34" s="65">
        <f t="shared" si="3"/>
        <v>0.14000000000000001</v>
      </c>
      <c r="L34" s="65">
        <f t="shared" si="3"/>
        <v>0.14000000000000001</v>
      </c>
      <c r="M34" s="65">
        <f t="shared" si="3"/>
        <v>0.14000000000000001</v>
      </c>
      <c r="N34" s="65">
        <f t="shared" si="3"/>
        <v>0.14000000000000001</v>
      </c>
      <c r="O34" s="65">
        <f t="shared" si="3"/>
        <v>0.14000000000000001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TeLd/nPqpzuByV+GfudMTRiJHYV/P/bJ9ZDjsF6z6BnXVNzRT8wM71mj30Ylwc20HUY/X90Or8d6k1w6lOPELw==" saltValue="1aBbeeBLFGy1E3FOPXG6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KBur27x/d5Z3QLsc5C+jk4oiogMGOdpkZWSVPaLgb8MdwHeozdPnaQ/vsqSnkNaNHP4eHtwoTr7lzFLNhgBs8w==" saltValue="TYOyLvjrLzpDY9GjfGKY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kNLWRIdw8blKggM14YkqMO7gBEkTBvI+qrjTsU6NmYDc/2+m2nV0gi+N8oG8GmWNhOxaRXF1vQe0LQX6duw2zQ==" saltValue="9A9xWFgNT2rdPYWmWh22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F9v9yLh2fsaPXrWMjY9/1QHF6VP7fngzjbXvAxhFMjORmg0BiWLdCcmwSTO2pCzyKGh6rU+2FXuKMW3BYbkqIw==" saltValue="JVY93ggEMCRzDCxAVHvnE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s9PZeEs5Z+hPt1EGvMkCuJUsmAAg/VUwpMPfFM7vQhpmPsq2H7uF9m+cpQCKS67bHSBgNVloBmUuK5T0jGj+zw==" saltValue="kjmfjGkiRDMLGl7QogSyC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0n25LykC4la/AM8p3U4H7NdffunLQQAcFU0Epv4NRWutoGzEmGp1fve7J3dTup6m3rhe0yZqn+F8ydOcKA/hVQ==" saltValue="V4+Uqixv/FWF+8PnZLt35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3368452.0057999999</v>
      </c>
      <c r="C2" s="53">
        <v>6453000</v>
      </c>
      <c r="D2" s="53">
        <v>10897000</v>
      </c>
      <c r="E2" s="53">
        <v>7288000</v>
      </c>
      <c r="F2" s="53">
        <v>4715000</v>
      </c>
      <c r="G2" s="14">
        <f t="shared" ref="G2:G11" si="0">C2+D2+E2+F2</f>
        <v>29353000</v>
      </c>
      <c r="H2" s="14">
        <f t="shared" ref="H2:H11" si="1">(B2 + stillbirth*B2/(1000-stillbirth))/(1-abortion)</f>
        <v>3619975.1053830935</v>
      </c>
      <c r="I2" s="14">
        <f t="shared" ref="I2:I11" si="2">G2-H2</f>
        <v>25733024.894616906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3385655.5529999998</v>
      </c>
      <c r="C3" s="53">
        <v>6502000</v>
      </c>
      <c r="D3" s="53">
        <v>11233000</v>
      </c>
      <c r="E3" s="53">
        <v>7550000</v>
      </c>
      <c r="F3" s="53">
        <v>4925000</v>
      </c>
      <c r="G3" s="14">
        <f t="shared" si="0"/>
        <v>30210000</v>
      </c>
      <c r="H3" s="14">
        <f t="shared" si="1"/>
        <v>3638463.2454786184</v>
      </c>
      <c r="I3" s="14">
        <f t="shared" si="2"/>
        <v>26571536.754521381</v>
      </c>
    </row>
    <row r="4" spans="1:9" ht="15.75" customHeight="1" x14ac:dyDescent="0.25">
      <c r="A4" s="7">
        <f t="shared" si="3"/>
        <v>2023</v>
      </c>
      <c r="B4" s="52">
        <v>3400525.3758</v>
      </c>
      <c r="C4" s="53">
        <v>6544000</v>
      </c>
      <c r="D4" s="53">
        <v>11544000</v>
      </c>
      <c r="E4" s="53">
        <v>7824000</v>
      </c>
      <c r="F4" s="53">
        <v>5149000</v>
      </c>
      <c r="G4" s="14">
        <f t="shared" si="0"/>
        <v>31061000</v>
      </c>
      <c r="H4" s="14">
        <f t="shared" si="1"/>
        <v>3654443.4014270399</v>
      </c>
      <c r="I4" s="14">
        <f t="shared" si="2"/>
        <v>27406556.598572962</v>
      </c>
    </row>
    <row r="5" spans="1:9" ht="15.75" customHeight="1" x14ac:dyDescent="0.25">
      <c r="A5" s="7">
        <f t="shared" si="3"/>
        <v>2024</v>
      </c>
      <c r="B5" s="52">
        <v>3412956.9992</v>
      </c>
      <c r="C5" s="53">
        <v>6594000</v>
      </c>
      <c r="D5" s="53">
        <v>11826000</v>
      </c>
      <c r="E5" s="53">
        <v>8122000</v>
      </c>
      <c r="F5" s="53">
        <v>5377000</v>
      </c>
      <c r="G5" s="14">
        <f t="shared" si="0"/>
        <v>31919000</v>
      </c>
      <c r="H5" s="14">
        <f t="shared" si="1"/>
        <v>3667803.2970556584</v>
      </c>
      <c r="I5" s="14">
        <f t="shared" si="2"/>
        <v>28251196.702944342</v>
      </c>
    </row>
    <row r="6" spans="1:9" ht="15.75" customHeight="1" x14ac:dyDescent="0.25">
      <c r="A6" s="7">
        <f t="shared" si="3"/>
        <v>2025</v>
      </c>
      <c r="B6" s="52">
        <v>3422797.8190000001</v>
      </c>
      <c r="C6" s="53">
        <v>6660000</v>
      </c>
      <c r="D6" s="53">
        <v>12076000</v>
      </c>
      <c r="E6" s="53">
        <v>8450000</v>
      </c>
      <c r="F6" s="53">
        <v>5604000</v>
      </c>
      <c r="G6" s="14">
        <f t="shared" si="0"/>
        <v>32790000</v>
      </c>
      <c r="H6" s="14">
        <f t="shared" si="1"/>
        <v>3678378.9331731461</v>
      </c>
      <c r="I6" s="14">
        <f t="shared" si="2"/>
        <v>29111621.066826854</v>
      </c>
    </row>
    <row r="7" spans="1:9" ht="15.75" customHeight="1" x14ac:dyDescent="0.25">
      <c r="A7" s="7">
        <f t="shared" si="3"/>
        <v>2026</v>
      </c>
      <c r="B7" s="52">
        <v>3434184.8256000001</v>
      </c>
      <c r="C7" s="53">
        <v>6741000</v>
      </c>
      <c r="D7" s="53">
        <v>12290000</v>
      </c>
      <c r="E7" s="53">
        <v>8801000</v>
      </c>
      <c r="F7" s="53">
        <v>5829000</v>
      </c>
      <c r="G7" s="14">
        <f t="shared" si="0"/>
        <v>33661000</v>
      </c>
      <c r="H7" s="14">
        <f t="shared" si="1"/>
        <v>3690616.2102208394</v>
      </c>
      <c r="I7" s="14">
        <f t="shared" si="2"/>
        <v>29970383.78977916</v>
      </c>
    </row>
    <row r="8" spans="1:9" ht="15.75" customHeight="1" x14ac:dyDescent="0.25">
      <c r="A8" s="7">
        <f t="shared" si="3"/>
        <v>2027</v>
      </c>
      <c r="B8" s="52">
        <v>3443062.3292</v>
      </c>
      <c r="C8" s="53">
        <v>6841000</v>
      </c>
      <c r="D8" s="53">
        <v>12471000</v>
      </c>
      <c r="E8" s="53">
        <v>9179000</v>
      </c>
      <c r="F8" s="53">
        <v>6057000</v>
      </c>
      <c r="G8" s="14">
        <f t="shared" si="0"/>
        <v>34548000</v>
      </c>
      <c r="H8" s="14">
        <f t="shared" si="1"/>
        <v>3700156.5990922302</v>
      </c>
      <c r="I8" s="14">
        <f t="shared" si="2"/>
        <v>30847843.40090777</v>
      </c>
    </row>
    <row r="9" spans="1:9" ht="15.75" customHeight="1" x14ac:dyDescent="0.25">
      <c r="A9" s="7">
        <f t="shared" si="3"/>
        <v>2028</v>
      </c>
      <c r="B9" s="52">
        <v>3449374.6124</v>
      </c>
      <c r="C9" s="53">
        <v>6951000</v>
      </c>
      <c r="D9" s="53">
        <v>12627000</v>
      </c>
      <c r="E9" s="53">
        <v>9571000</v>
      </c>
      <c r="F9" s="53">
        <v>6288000</v>
      </c>
      <c r="G9" s="14">
        <f t="shared" si="0"/>
        <v>35437000</v>
      </c>
      <c r="H9" s="14">
        <f t="shared" si="1"/>
        <v>3706940.2219560212</v>
      </c>
      <c r="I9" s="14">
        <f t="shared" si="2"/>
        <v>31730059.778043978</v>
      </c>
    </row>
    <row r="10" spans="1:9" ht="15.75" customHeight="1" x14ac:dyDescent="0.25">
      <c r="A10" s="7">
        <f t="shared" si="3"/>
        <v>2029</v>
      </c>
      <c r="B10" s="52">
        <v>3453095.0159999989</v>
      </c>
      <c r="C10" s="53">
        <v>7061000</v>
      </c>
      <c r="D10" s="53">
        <v>12774000</v>
      </c>
      <c r="E10" s="53">
        <v>9959000</v>
      </c>
      <c r="F10" s="53">
        <v>6525000</v>
      </c>
      <c r="G10" s="14">
        <f t="shared" si="0"/>
        <v>36319000</v>
      </c>
      <c r="H10" s="14">
        <f t="shared" si="1"/>
        <v>3710938.4289635085</v>
      </c>
      <c r="I10" s="14">
        <f t="shared" si="2"/>
        <v>32608061.571036492</v>
      </c>
    </row>
    <row r="11" spans="1:9" ht="15.75" customHeight="1" x14ac:dyDescent="0.25">
      <c r="A11" s="7">
        <f t="shared" si="3"/>
        <v>2030</v>
      </c>
      <c r="B11" s="52">
        <v>3454198.8</v>
      </c>
      <c r="C11" s="53">
        <v>7164000</v>
      </c>
      <c r="D11" s="53">
        <v>12922000</v>
      </c>
      <c r="E11" s="53">
        <v>10330000</v>
      </c>
      <c r="F11" s="53">
        <v>6772000</v>
      </c>
      <c r="G11" s="14">
        <f t="shared" si="0"/>
        <v>37188000</v>
      </c>
      <c r="H11" s="14">
        <f t="shared" si="1"/>
        <v>3712124.6327731051</v>
      </c>
      <c r="I11" s="14">
        <f t="shared" si="2"/>
        <v>33475875.367226895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CgWk3hn7JPlZ5k152ELwoFHwezPNxhKQIlGnfO0/cSQeWyltvWAU2+GeH0Tu+cQnA405SzatX89cd3RmUHALJA==" saltValue="nvopVrkbjrmKhQG1CXXhk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PdeWIuzZZc8OUNNaJc7WOoTm1zXwmUerZpEe4gi7w3U/TYv9Lb1zKpQXdtRAVR+E8wwFq++Qs2Iv3KQJV9t9w==" saltValue="1wM0FxsiH/DhBLXHyFKSq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3OqdFibND2021/f7ae7vksXO3d8FAKvj7+9zCE2RVqDJfZviZ4DbB8Y5sDmO/j1fQ2huigEegx6WUys//2ISGQ==" saltValue="74JcNAS6kYuMACIide2v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CUuL252vJTDQVPssrva3R4aZnwWzXeMNPa9b/XUKYZuo3DooXWZdBuVAsDn7BfWzO+jQQJPThBxpGUFEF5O6Q==" saltValue="H+K7T5AkV5kcZ0gJZeUv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HL4KlBSldwKNhI2m14wyB1C5Vch8Be6+9uVf1CzrEr9B3sVtkF14JrBKrSZYOMVq4yrfYUNDJI4SvHFi7AVuhA==" saltValue="ABRAFi0eleZWXDWG2lzR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SZmF/atjz6T01FA3LpCz3Khqh6s9GKP9rZf1su2v3SRh1Mw5VL6BXdTZivXNyvs9PDcxm3CahGDDiOJ9OHSyVQ==" saltValue="ADBib/xJnz9I1esmimKY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DdFALNs+F2Gv6G0w7Jedd/A21VxZSAXBTq/PzQyksDcW63TS5+sQx1IbYynKwoBHXa8CXaxF2DrrSl398np8zg==" saltValue="s2AZh9fmz6PUILCbs/6T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EJEbxRpUK2mbU54NBRdwFL1lLKTahfOI9zcU2yqu2w7fRdiQqllt7Wh2vesjSYVtjxSuTQ2XrwnzxQMiuDb/w==" saltValue="sNORW2bUKg83+gRppzKv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76v5vFDX83LobsuPa2wcMtdomDRh+MZ4MGf0/f6ud5zQFch07AWxXh3v2qGsTWU43ugO1KWMzrJcy83ogK2JLg==" saltValue="juknU+o7hEH1MJVeGeCR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7KLqwB+v9OEAGHk6s45yd2rR1BaasthfHgXmqiXA1fHF5uMQxzvPV5Oi6hKSod2WhGZEMcCN1Oz45OXjEx0qw==" saltValue="jKlRz8jbNF3490SYM0WDs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7.657369944615031E-3</v>
      </c>
    </row>
    <row r="4" spans="1:8" ht="15.75" customHeight="1" x14ac:dyDescent="0.25">
      <c r="B4" s="16" t="s">
        <v>79</v>
      </c>
      <c r="C4" s="54">
        <v>0.1679051777180304</v>
      </c>
    </row>
    <row r="5" spans="1:8" ht="15.75" customHeight="1" x14ac:dyDescent="0.25">
      <c r="B5" s="16" t="s">
        <v>80</v>
      </c>
      <c r="C5" s="54">
        <v>7.8118373834736701E-2</v>
      </c>
    </row>
    <row r="6" spans="1:8" ht="15.75" customHeight="1" x14ac:dyDescent="0.25">
      <c r="B6" s="16" t="s">
        <v>81</v>
      </c>
      <c r="C6" s="54">
        <v>0.29627379387842351</v>
      </c>
    </row>
    <row r="7" spans="1:8" ht="15.75" customHeight="1" x14ac:dyDescent="0.25">
      <c r="B7" s="16" t="s">
        <v>82</v>
      </c>
      <c r="C7" s="54">
        <v>0.2627464776007255</v>
      </c>
    </row>
    <row r="8" spans="1:8" ht="15.75" customHeight="1" x14ac:dyDescent="0.25">
      <c r="B8" s="16" t="s">
        <v>83</v>
      </c>
      <c r="C8" s="54">
        <v>1.5821735643554241E-2</v>
      </c>
    </row>
    <row r="9" spans="1:8" ht="15.75" customHeight="1" x14ac:dyDescent="0.25">
      <c r="B9" s="16" t="s">
        <v>84</v>
      </c>
      <c r="C9" s="54">
        <v>0.1059528266969353</v>
      </c>
    </row>
    <row r="10" spans="1:8" ht="15.75" customHeight="1" x14ac:dyDescent="0.25">
      <c r="B10" s="16" t="s">
        <v>85</v>
      </c>
      <c r="C10" s="54">
        <v>6.552424468297928E-2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0.14979929411052131</v>
      </c>
      <c r="D14" s="54">
        <v>0.14979929411052131</v>
      </c>
      <c r="E14" s="54">
        <v>0.14979929411052131</v>
      </c>
      <c r="F14" s="54">
        <v>0.14979929411052131</v>
      </c>
    </row>
    <row r="15" spans="1:8" ht="15.75" customHeight="1" x14ac:dyDescent="0.25">
      <c r="B15" s="16" t="s">
        <v>88</v>
      </c>
      <c r="C15" s="54">
        <v>0.26480955827936931</v>
      </c>
      <c r="D15" s="54">
        <v>0.26480955827936931</v>
      </c>
      <c r="E15" s="54">
        <v>0.26480955827936931</v>
      </c>
      <c r="F15" s="54">
        <v>0.26480955827936931</v>
      </c>
    </row>
    <row r="16" spans="1:8" ht="15.75" customHeight="1" x14ac:dyDescent="0.25">
      <c r="B16" s="16" t="s">
        <v>89</v>
      </c>
      <c r="C16" s="54">
        <v>4.3358821747011819E-2</v>
      </c>
      <c r="D16" s="54">
        <v>4.3358821747011819E-2</v>
      </c>
      <c r="E16" s="54">
        <v>4.3358821747011819E-2</v>
      </c>
      <c r="F16" s="54">
        <v>4.3358821747011819E-2</v>
      </c>
    </row>
    <row r="17" spans="1:8" ht="15.75" customHeight="1" x14ac:dyDescent="0.25">
      <c r="B17" s="16" t="s">
        <v>90</v>
      </c>
      <c r="C17" s="54">
        <v>3.0273117307286681E-2</v>
      </c>
      <c r="D17" s="54">
        <v>3.0273117307286681E-2</v>
      </c>
      <c r="E17" s="54">
        <v>3.0273117307286681E-2</v>
      </c>
      <c r="F17" s="54">
        <v>3.0273117307286681E-2</v>
      </c>
    </row>
    <row r="18" spans="1:8" ht="15.75" customHeight="1" x14ac:dyDescent="0.25">
      <c r="B18" s="16" t="s">
        <v>91</v>
      </c>
      <c r="C18" s="54">
        <v>2.7972819987065931E-3</v>
      </c>
      <c r="D18" s="54">
        <v>2.7972819987065931E-3</v>
      </c>
      <c r="E18" s="54">
        <v>2.7972819987065931E-3</v>
      </c>
      <c r="F18" s="54">
        <v>2.7972819987065931E-3</v>
      </c>
    </row>
    <row r="19" spans="1:8" ht="15.75" customHeight="1" x14ac:dyDescent="0.25">
      <c r="B19" s="16" t="s">
        <v>92</v>
      </c>
      <c r="C19" s="54">
        <v>3.3574459289104512E-2</v>
      </c>
      <c r="D19" s="54">
        <v>3.3574459289104512E-2</v>
      </c>
      <c r="E19" s="54">
        <v>3.3574459289104512E-2</v>
      </c>
      <c r="F19" s="54">
        <v>3.3574459289104512E-2</v>
      </c>
    </row>
    <row r="20" spans="1:8" ht="15.75" customHeight="1" x14ac:dyDescent="0.25">
      <c r="B20" s="16" t="s">
        <v>93</v>
      </c>
      <c r="C20" s="54">
        <v>3.4107653013792233E-2</v>
      </c>
      <c r="D20" s="54">
        <v>3.4107653013792233E-2</v>
      </c>
      <c r="E20" s="54">
        <v>3.4107653013792233E-2</v>
      </c>
      <c r="F20" s="54">
        <v>3.4107653013792233E-2</v>
      </c>
    </row>
    <row r="21" spans="1:8" ht="15.75" customHeight="1" x14ac:dyDescent="0.25">
      <c r="B21" s="16" t="s">
        <v>94</v>
      </c>
      <c r="C21" s="54">
        <v>0.1361722224030853</v>
      </c>
      <c r="D21" s="54">
        <v>0.1361722224030853</v>
      </c>
      <c r="E21" s="54">
        <v>0.1361722224030853</v>
      </c>
      <c r="F21" s="54">
        <v>0.1361722224030853</v>
      </c>
    </row>
    <row r="22" spans="1:8" ht="15.75" customHeight="1" x14ac:dyDescent="0.25">
      <c r="B22" s="16" t="s">
        <v>95</v>
      </c>
      <c r="C22" s="54">
        <v>0.30510759185112218</v>
      </c>
      <c r="D22" s="54">
        <v>0.30510759185112218</v>
      </c>
      <c r="E22" s="54">
        <v>0.30510759185112218</v>
      </c>
      <c r="F22" s="54">
        <v>0.30510759185112218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8.7499999999999994E-2</v>
      </c>
    </row>
    <row r="27" spans="1:8" ht="15.75" customHeight="1" x14ac:dyDescent="0.25">
      <c r="B27" s="16" t="s">
        <v>102</v>
      </c>
      <c r="C27" s="54">
        <v>8.5000000000000006E-3</v>
      </c>
    </row>
    <row r="28" spans="1:8" ht="15.75" customHeight="1" x14ac:dyDescent="0.25">
      <c r="B28" s="16" t="s">
        <v>103</v>
      </c>
      <c r="C28" s="54">
        <v>0.15590000000000001</v>
      </c>
    </row>
    <row r="29" spans="1:8" ht="15.75" customHeight="1" x14ac:dyDescent="0.25">
      <c r="B29" s="16" t="s">
        <v>104</v>
      </c>
      <c r="C29" s="54">
        <v>0.16769999999999999</v>
      </c>
    </row>
    <row r="30" spans="1:8" ht="15.75" customHeight="1" x14ac:dyDescent="0.25">
      <c r="B30" s="16" t="s">
        <v>2</v>
      </c>
      <c r="C30" s="54">
        <v>0.10639999999999999</v>
      </c>
    </row>
    <row r="31" spans="1:8" ht="15.75" customHeight="1" x14ac:dyDescent="0.25">
      <c r="B31" s="16" t="s">
        <v>105</v>
      </c>
      <c r="C31" s="54">
        <v>0.109</v>
      </c>
    </row>
    <row r="32" spans="1:8" ht="15.75" customHeight="1" x14ac:dyDescent="0.25">
      <c r="B32" s="16" t="s">
        <v>106</v>
      </c>
      <c r="C32" s="54">
        <v>1.83E-2</v>
      </c>
    </row>
    <row r="33" spans="2:3" ht="15.75" customHeight="1" x14ac:dyDescent="0.25">
      <c r="B33" s="16" t="s">
        <v>107</v>
      </c>
      <c r="C33" s="54">
        <v>8.4399999999999989E-2</v>
      </c>
    </row>
    <row r="34" spans="2:3" ht="15.75" customHeight="1" x14ac:dyDescent="0.25">
      <c r="B34" s="16" t="s">
        <v>108</v>
      </c>
      <c r="C34" s="54">
        <v>0.26229999999776482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82X0/d75kBsfUUgYQ8S6vkRUqkpY7oinzVxJPifUD+QMxOTTT47LiUVsh2naap7FCat9bfPcedxylC4RcJKOqg==" saltValue="g8lifdfaghe+eOvQTSBqw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0.60038936999999992</v>
      </c>
      <c r="D2" s="55">
        <v>0.60038936999999992</v>
      </c>
      <c r="E2" s="55">
        <v>0.49485995999999999</v>
      </c>
      <c r="F2" s="55">
        <v>0.34746539999999998</v>
      </c>
      <c r="G2" s="55">
        <v>0.24710760000000001</v>
      </c>
    </row>
    <row r="3" spans="1:15" ht="15.75" customHeight="1" x14ac:dyDescent="0.25">
      <c r="B3" s="7" t="s">
        <v>113</v>
      </c>
      <c r="C3" s="55">
        <v>0.22807469999999999</v>
      </c>
      <c r="D3" s="55">
        <v>0.22807469999999999</v>
      </c>
      <c r="E3" s="55">
        <v>0.22684936999999999</v>
      </c>
      <c r="F3" s="55">
        <v>0.32459525999999989</v>
      </c>
      <c r="G3" s="55">
        <v>0.32057701</v>
      </c>
    </row>
    <row r="4" spans="1:15" ht="15.75" customHeight="1" x14ac:dyDescent="0.25">
      <c r="B4" s="7" t="s">
        <v>114</v>
      </c>
      <c r="C4" s="56">
        <v>0.13261111</v>
      </c>
      <c r="D4" s="56">
        <v>0.13261111</v>
      </c>
      <c r="E4" s="56">
        <v>0.19086748000000001</v>
      </c>
      <c r="F4" s="56">
        <v>0.23636545</v>
      </c>
      <c r="G4" s="56">
        <v>0.28320193999999999</v>
      </c>
    </row>
    <row r="5" spans="1:15" ht="15.75" customHeight="1" x14ac:dyDescent="0.25">
      <c r="B5" s="7" t="s">
        <v>115</v>
      </c>
      <c r="C5" s="56">
        <v>3.8924842000000001E-2</v>
      </c>
      <c r="D5" s="56">
        <v>3.8924842000000001E-2</v>
      </c>
      <c r="E5" s="56">
        <v>8.7423201000000006E-2</v>
      </c>
      <c r="F5" s="56">
        <v>9.1573905999999997E-2</v>
      </c>
      <c r="G5" s="56">
        <v>0.14911344000000001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0.79589911999999996</v>
      </c>
      <c r="D8" s="55">
        <v>0.79589911999999996</v>
      </c>
      <c r="E8" s="55">
        <v>0.74259209000000004</v>
      </c>
      <c r="F8" s="55">
        <v>0.70210426000000004</v>
      </c>
      <c r="G8" s="55">
        <v>0.74136939999999996</v>
      </c>
    </row>
    <row r="9" spans="1:15" ht="15.75" customHeight="1" x14ac:dyDescent="0.25">
      <c r="B9" s="7" t="s">
        <v>118</v>
      </c>
      <c r="C9" s="55">
        <v>0.10925321</v>
      </c>
      <c r="D9" s="55">
        <v>0.10925321</v>
      </c>
      <c r="E9" s="55">
        <v>0.19456533000000001</v>
      </c>
      <c r="F9" s="55">
        <v>0.21829915999999999</v>
      </c>
      <c r="G9" s="55">
        <v>0.19202348999999999</v>
      </c>
    </row>
    <row r="10" spans="1:15" ht="15.75" customHeight="1" x14ac:dyDescent="0.25">
      <c r="B10" s="7" t="s">
        <v>119</v>
      </c>
      <c r="C10" s="56">
        <v>8.3012753000000009E-2</v>
      </c>
      <c r="D10" s="56">
        <v>8.3012753000000009E-2</v>
      </c>
      <c r="E10" s="56">
        <v>5.4330702000000002E-2</v>
      </c>
      <c r="F10" s="56">
        <v>6.6297607000000008E-2</v>
      </c>
      <c r="G10" s="56">
        <v>5.4303459999999998E-2</v>
      </c>
    </row>
    <row r="11" spans="1:15" ht="15.75" customHeight="1" x14ac:dyDescent="0.25">
      <c r="B11" s="7" t="s">
        <v>120</v>
      </c>
      <c r="C11" s="56">
        <v>1.1834925E-2</v>
      </c>
      <c r="D11" s="56">
        <v>1.1834925E-2</v>
      </c>
      <c r="E11" s="56">
        <v>8.5118359000000005E-3</v>
      </c>
      <c r="F11" s="56">
        <v>1.3298948E-2</v>
      </c>
      <c r="G11" s="56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0.90827927350000015</v>
      </c>
      <c r="D14" s="57">
        <v>0.900232278725</v>
      </c>
      <c r="E14" s="57">
        <v>0.900232278725</v>
      </c>
      <c r="F14" s="57">
        <v>0.62486000702099997</v>
      </c>
      <c r="G14" s="57">
        <v>0.62486000702099997</v>
      </c>
      <c r="H14" s="58">
        <v>0.44700000000000001</v>
      </c>
      <c r="I14" s="58">
        <v>0.2453771186440678</v>
      </c>
      <c r="J14" s="58">
        <v>0.2983983050847458</v>
      </c>
      <c r="K14" s="58">
        <v>0.31442796610169488</v>
      </c>
      <c r="L14" s="58">
        <v>0.233480045159</v>
      </c>
      <c r="M14" s="58">
        <v>0.2136848637215</v>
      </c>
      <c r="N14" s="58">
        <v>0.22481026902449999</v>
      </c>
      <c r="O14" s="58">
        <v>0.24163644887300001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0.46963309956774274</v>
      </c>
      <c r="D15" s="55">
        <f t="shared" si="0"/>
        <v>0.465472336233547</v>
      </c>
      <c r="E15" s="55">
        <f t="shared" si="0"/>
        <v>0.465472336233547</v>
      </c>
      <c r="F15" s="55">
        <f t="shared" si="0"/>
        <v>0.32308888956849424</v>
      </c>
      <c r="G15" s="55">
        <f t="shared" si="0"/>
        <v>0.32308888956849424</v>
      </c>
      <c r="H15" s="55">
        <f t="shared" si="0"/>
        <v>0.23112494321030103</v>
      </c>
      <c r="I15" s="55">
        <f t="shared" si="0"/>
        <v>0.12687421165932319</v>
      </c>
      <c r="J15" s="55">
        <f t="shared" si="0"/>
        <v>0.15428924231937796</v>
      </c>
      <c r="K15" s="55">
        <f t="shared" si="0"/>
        <v>0.16257750740265031</v>
      </c>
      <c r="L15" s="55">
        <f t="shared" si="0"/>
        <v>0.12072273417922236</v>
      </c>
      <c r="M15" s="55">
        <f t="shared" si="0"/>
        <v>0.11048747649336152</v>
      </c>
      <c r="N15" s="55">
        <f t="shared" si="0"/>
        <v>0.11623995673686813</v>
      </c>
      <c r="O15" s="55">
        <f t="shared" si="0"/>
        <v>0.12494006828481193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lGI0DyF6q5XpBTmCED1WnPJUrxUHqBqskn6n6j+ymB6Ef1DgYOwXAc7oT46wW5PjkMN2eTuWoR5nVABNU3fcOw==" saltValue="k2Px5vD+0PmujKVHJIzZ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0.73135047909999995</v>
      </c>
      <c r="D2" s="56">
        <v>0.56024585999999998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0.10681968</v>
      </c>
      <c r="D3" s="56">
        <v>0.15972823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8.5384884000000008E-2</v>
      </c>
      <c r="D4" s="56">
        <v>0.22809884999999999</v>
      </c>
      <c r="E4" s="56">
        <v>0.94018203020095792</v>
      </c>
      <c r="F4" s="56">
        <v>0.84757745265960693</v>
      </c>
      <c r="G4" s="56">
        <v>0</v>
      </c>
    </row>
    <row r="5" spans="1:7" x14ac:dyDescent="0.25">
      <c r="B5" s="98" t="s">
        <v>132</v>
      </c>
      <c r="C5" s="55">
        <v>7.64449569E-2</v>
      </c>
      <c r="D5" s="55">
        <v>5.1927059999999893E-2</v>
      </c>
      <c r="E5" s="55">
        <v>5.9817969799042033E-2</v>
      </c>
      <c r="F5" s="55">
        <v>0.15242254734039309</v>
      </c>
      <c r="G5" s="55">
        <v>1</v>
      </c>
    </row>
  </sheetData>
  <sheetProtection algorithmName="SHA-512" hashValue="NYWZ1QFHpE6nxejyjwGX7bw/zJSNZKXu1L9SOiRjMjIgGbMuvThufcuGDpVzfcnzsNDme99DbrmKTXrDe+oe8Q==" saltValue="vbQMyK51S/+U9LYGNb+zl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xojTq1A6V/OkCQLmmwP388dJGk06Mncd16lKo9aW9CIePR3rErKBa8MP/aIE/tZM+WhcmmYGecyBAHyKfFgR2A==" saltValue="lWC9HCYugbiXPmi33wxdB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wttybrz3lQ+HA610Pkb1gkzjtH/nsalGcrs45f0pKeLetGgf3tjENQS+4IXypTB8yGhI/jYGpdopLdQVB3Oxyg==" saltValue="ZN0k34NS9vESFxB0hx/pX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2DswWkaAnogfe4H7yNIZBd55dEbGX+MLm+bfjGxG71xy4dOmgx77ejyvtCJXvoh0IY1OtsmPABRl43TBf7QKoQ==" saltValue="tnBMc0N2HuLTTYVDYQQ7h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A0fVYRQFf/VjoB7QXjJdWGMaZ5Qwg54N2AWEUQhiAndh+z2xb8FGQGpRACy7y4TQg3F/jPMj6QonWwHfVQbFUQ==" saltValue="jNZpuRpf/E/aStPClgBy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2022-02-01T03:57:54Z</dcterms:modified>
</cp:coreProperties>
</file>