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FCCCB17-6C5A-432B-9A94-82CC5700D86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7" i="2" l="1"/>
  <c r="A27" i="2"/>
  <c r="A38" i="2"/>
  <c r="A19" i="2"/>
  <c r="A30" i="2"/>
  <c r="A21" i="2"/>
  <c r="A31" i="2"/>
  <c r="A22" i="2"/>
  <c r="A33" i="2"/>
  <c r="A39" i="2"/>
  <c r="A18" i="2"/>
  <c r="A29" i="2"/>
  <c r="A13" i="2"/>
  <c r="A23" i="2"/>
  <c r="A34" i="2"/>
  <c r="A14" i="2"/>
  <c r="A25" i="2"/>
  <c r="A35" i="2"/>
  <c r="I5" i="2"/>
  <c r="I9" i="2"/>
  <c r="A15" i="2"/>
  <c r="A26" i="2"/>
  <c r="A37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<sst xmlns="http://schemas.openxmlformats.org/spreadsheetml/2006/main" count="2092" uniqueCount="337">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</sst>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1126503.828125</v>
      </c>
    </row>
    <row r="8" spans="1:3" ht="15" customHeight="1" x14ac:dyDescent="0.25">
      <c r="B8" s="7" t="s">
        <v>19</v>
      </c>
      <c r="C8" s="46">
        <v>5.8000000000000003E-2</v>
      </c>
    </row>
    <row r="9" spans="1:3" ht="15" customHeight="1" x14ac:dyDescent="0.25">
      <c r="B9" s="7" t="s">
        <v>20</v>
      </c>
      <c r="C9" s="47">
        <v>0.3362</v>
      </c>
    </row>
    <row r="10" spans="1:3" ht="15" customHeight="1" x14ac:dyDescent="0.25">
      <c r="B10" s="7" t="s">
        <v>21</v>
      </c>
      <c r="C10" s="47">
        <v>0.299615001678467</v>
      </c>
    </row>
    <row r="11" spans="1:3" ht="15" customHeight="1" x14ac:dyDescent="0.25">
      <c r="B11" s="7" t="s">
        <v>22</v>
      </c>
      <c r="C11" s="46">
        <v>0.54899999999999993</v>
      </c>
    </row>
    <row r="12" spans="1:3" ht="15" customHeight="1" x14ac:dyDescent="0.25">
      <c r="B12" s="7" t="s">
        <v>23</v>
      </c>
      <c r="C12" s="46">
        <v>0.63</v>
      </c>
    </row>
    <row r="13" spans="1:3" ht="15" customHeight="1" x14ac:dyDescent="0.25">
      <c r="B13" s="7" t="s">
        <v>24</v>
      </c>
      <c r="C13" s="46">
        <v>0.59399999999999997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8.43E-2</v>
      </c>
    </row>
    <row r="24" spans="1:3" ht="15" customHeight="1" x14ac:dyDescent="0.25">
      <c r="B24" s="12" t="s">
        <v>33</v>
      </c>
      <c r="C24" s="47">
        <v>0.46639999999999998</v>
      </c>
    </row>
    <row r="25" spans="1:3" ht="15" customHeight="1" x14ac:dyDescent="0.25">
      <c r="B25" s="12" t="s">
        <v>34</v>
      </c>
      <c r="C25" s="47">
        <v>0.34599999999999992</v>
      </c>
    </row>
    <row r="26" spans="1:3" ht="15" customHeight="1" x14ac:dyDescent="0.25">
      <c r="B26" s="12" t="s">
        <v>35</v>
      </c>
      <c r="C26" s="47">
        <v>0.1033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0.223</v>
      </c>
    </row>
    <row r="30" spans="1:3" ht="14.25" customHeight="1" x14ac:dyDescent="0.25">
      <c r="B30" s="22" t="s">
        <v>38</v>
      </c>
      <c r="C30" s="49">
        <v>0.11700000000000001</v>
      </c>
    </row>
    <row r="31" spans="1:3" ht="14.25" customHeight="1" x14ac:dyDescent="0.25">
      <c r="B31" s="22" t="s">
        <v>39</v>
      </c>
      <c r="C31" s="49">
        <v>0.161</v>
      </c>
    </row>
    <row r="32" spans="1:3" ht="14.25" customHeight="1" x14ac:dyDescent="0.25">
      <c r="B32" s="22" t="s">
        <v>40</v>
      </c>
      <c r="C32" s="49">
        <v>0.499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21.937272220998999</v>
      </c>
    </row>
    <row r="38" spans="1:5" ht="15" customHeight="1" x14ac:dyDescent="0.25">
      <c r="B38" s="28" t="s">
        <v>45</v>
      </c>
      <c r="C38" s="117">
        <v>35.850004273224798</v>
      </c>
      <c r="D38" s="9"/>
      <c r="E38" s="10"/>
    </row>
    <row r="39" spans="1:5" ht="15" customHeight="1" x14ac:dyDescent="0.25">
      <c r="B39" s="28" t="s">
        <v>46</v>
      </c>
      <c r="C39" s="117">
        <v>44.794393113841203</v>
      </c>
      <c r="D39" s="9"/>
      <c r="E39" s="9"/>
    </row>
    <row r="40" spans="1:5" ht="15" customHeight="1" x14ac:dyDescent="0.25">
      <c r="B40" s="28" t="s">
        <v>47</v>
      </c>
      <c r="C40" s="117">
        <v>145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16.094133129999999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1.4634599999999999E-2</v>
      </c>
      <c r="D45" s="9"/>
    </row>
    <row r="46" spans="1:5" ht="15.75" customHeight="1" x14ac:dyDescent="0.25">
      <c r="B46" s="28" t="s">
        <v>52</v>
      </c>
      <c r="C46" s="47">
        <v>5.0796189999999998E-2</v>
      </c>
      <c r="D46" s="9"/>
    </row>
    <row r="47" spans="1:5" ht="15.75" customHeight="1" x14ac:dyDescent="0.25">
      <c r="B47" s="28" t="s">
        <v>53</v>
      </c>
      <c r="C47" s="47">
        <v>0.20137769999999999</v>
      </c>
      <c r="D47" s="9"/>
      <c r="E47" s="10"/>
    </row>
    <row r="48" spans="1:5" ht="15" customHeight="1" x14ac:dyDescent="0.25">
      <c r="B48" s="28" t="s">
        <v>54</v>
      </c>
      <c r="C48" s="48">
        <v>0.73319151000000005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0.48330251502779342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tnFQXjDfCg757WB6MCRLSH84jyWl3+tGS6oioCpnJCHZ2fTMmVjaERCSjx0WjyWRQTZVL//CsoM+HPGaKoob8A==" saltValue="AxLkDV21taLS7E/ku4N5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0.11182714676803999</v>
      </c>
      <c r="C2" s="115">
        <v>0.95</v>
      </c>
      <c r="D2" s="116">
        <v>47.543631948570813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44.919838190254588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250.00911159604749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0.45726456517724012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14.44490005937495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14.44490005937495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14.44490005937495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14.44490005937495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14.44490005937495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14.44490005937495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0.49020069999999999</v>
      </c>
      <c r="C16" s="115">
        <v>0.95</v>
      </c>
      <c r="D16" s="116">
        <v>0.50118534166365525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0.32183600000000001</v>
      </c>
      <c r="C18" s="115">
        <v>0.95</v>
      </c>
      <c r="D18" s="116">
        <v>5.8130849373349918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0.32183600000000001</v>
      </c>
      <c r="C19" s="115">
        <v>0.95</v>
      </c>
      <c r="D19" s="116">
        <v>5.8130849373349918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0.56520359999999992</v>
      </c>
      <c r="C21" s="115">
        <v>0.95</v>
      </c>
      <c r="D21" s="116">
        <v>6.2567341056259016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24.762499177403289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4.8184289348295932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0.42295321447236001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8.0286750000000004E-2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20.75026783587251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7.3357549999999994E-2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0.57100000000000006</v>
      </c>
      <c r="C29" s="115">
        <v>0.95</v>
      </c>
      <c r="D29" s="116">
        <v>89.715813228316819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8.5059079955029304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1.0438007378265179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0.244063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0.68503119999999995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0.18381099396009401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6.1730292806260767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0.12949266967669801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ZkgkOqIU5eCtZ6J3NWJ+//0tjddo005d9r8zutct4PGEPasZHe9r770ATa3aFkqZTz5OpqNAZvelHBpmb2CusA==" saltValue="9eRC/nIIGGWuuujmAiAa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jakrHtlql/oN5uLs7SqCjRpu14m5SdD7+ulU4LgnJaDdN8kHk5ZtB2igFfA842KVG6nxGVQ9AQz3fazxsb+Gzg==" saltValue="ZZwH9i7lL0FXjEEGvymR+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HkNcAyfhtxjaDwh7elZoe7Ke1/dBoONlJpqINBhlaxeo1bLosOKUutu1+lVJQrpUlbuNZF22rCIVrRUR/pOf1g==" saltValue="9KRh6yBV6D4SYYVHGw3u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0.18773492139999998</v>
      </c>
      <c r="C3" s="18">
        <f>frac_mam_1_5months * 2.6</f>
        <v>0.18773492139999998</v>
      </c>
      <c r="D3" s="18">
        <f>frac_mam_6_11months * 2.6</f>
        <v>0.27492543000000003</v>
      </c>
      <c r="E3" s="18">
        <f>frac_mam_12_23months * 2.6</f>
        <v>0.16999596120000002</v>
      </c>
      <c r="F3" s="18">
        <f>frac_mam_24_59months * 2.6</f>
        <v>0.115547887</v>
      </c>
    </row>
    <row r="4" spans="1:6" ht="15.75" customHeight="1" x14ac:dyDescent="0.25">
      <c r="A4" s="4" t="s">
        <v>208</v>
      </c>
      <c r="B4" s="18">
        <f>frac_sam_1month * 2.6</f>
        <v>5.5364860200000005E-2</v>
      </c>
      <c r="C4" s="18">
        <f>frac_sam_1_5months * 2.6</f>
        <v>5.5364860200000005E-2</v>
      </c>
      <c r="D4" s="18">
        <f>frac_sam_6_11months * 2.6</f>
        <v>0.12190114560000001</v>
      </c>
      <c r="E4" s="18">
        <f>frac_sam_12_23months * 2.6</f>
        <v>0.14201703100000002</v>
      </c>
      <c r="F4" s="18">
        <f>frac_sam_24_59months * 2.6</f>
        <v>7.8966672200000004E-2</v>
      </c>
    </row>
  </sheetData>
  <sheetProtection algorithmName="SHA-512" hashValue="srm/L7lLhht+AmKbG0CCtrw2SPDXymAHzpuN5MzzncXeg63GZD3cqL6wPTDcPOYB1ZDUj+uXf+Z5F7ph9kyvPQ==" saltValue="msFEIzxL4/HXxkhFL1Bf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5.8000000000000003E-2</v>
      </c>
      <c r="E2" s="65">
        <f>food_insecure</f>
        <v>5.8000000000000003E-2</v>
      </c>
      <c r="F2" s="65">
        <f>food_insecure</f>
        <v>5.8000000000000003E-2</v>
      </c>
      <c r="G2" s="65">
        <f>food_insecure</f>
        <v>5.8000000000000003E-2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5.8000000000000003E-2</v>
      </c>
      <c r="F5" s="65">
        <f>food_insecure</f>
        <v>5.8000000000000003E-2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5.8000000000000003E-2</v>
      </c>
      <c r="F8" s="65">
        <f>food_insecure</f>
        <v>5.8000000000000003E-2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5.8000000000000003E-2</v>
      </c>
      <c r="F9" s="65">
        <f>food_insecure</f>
        <v>5.8000000000000003E-2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0.63</v>
      </c>
      <c r="E10" s="65">
        <f>IF(ISBLANK(comm_deliv), frac_children_health_facility,1)</f>
        <v>0.63</v>
      </c>
      <c r="F10" s="65">
        <f>IF(ISBLANK(comm_deliv), frac_children_health_facility,1)</f>
        <v>0.63</v>
      </c>
      <c r="G10" s="65">
        <f>IF(ISBLANK(comm_deliv), frac_children_health_facility,1)</f>
        <v>0.63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5.8000000000000003E-2</v>
      </c>
      <c r="I15" s="65">
        <f>food_insecure</f>
        <v>5.8000000000000003E-2</v>
      </c>
      <c r="J15" s="65">
        <f>food_insecure</f>
        <v>5.8000000000000003E-2</v>
      </c>
      <c r="K15" s="65">
        <f>food_insecure</f>
        <v>5.8000000000000003E-2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0.54899999999999993</v>
      </c>
      <c r="I18" s="65">
        <f>frac_PW_health_facility</f>
        <v>0.54899999999999993</v>
      </c>
      <c r="J18" s="65">
        <f>frac_PW_health_facility</f>
        <v>0.54899999999999993</v>
      </c>
      <c r="K18" s="65">
        <f>frac_PW_health_facility</f>
        <v>0.54899999999999993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0.3362</v>
      </c>
      <c r="I19" s="65">
        <f>frac_malaria_risk</f>
        <v>0.3362</v>
      </c>
      <c r="J19" s="65">
        <f>frac_malaria_risk</f>
        <v>0.3362</v>
      </c>
      <c r="K19" s="65">
        <f>frac_malaria_risk</f>
        <v>0.3362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0.59399999999999997</v>
      </c>
      <c r="M24" s="65">
        <f>famplan_unmet_need</f>
        <v>0.59399999999999997</v>
      </c>
      <c r="N24" s="65">
        <f>famplan_unmet_need</f>
        <v>0.59399999999999997</v>
      </c>
      <c r="O24" s="65">
        <f>famplan_unmet_need</f>
        <v>0.59399999999999997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0.35171933845710746</v>
      </c>
      <c r="M25" s="65">
        <f>(1-food_insecure)*(0.49)+food_insecure*(0.7)</f>
        <v>0.50217999999999996</v>
      </c>
      <c r="N25" s="65">
        <f>(1-food_insecure)*(0.49)+food_insecure*(0.7)</f>
        <v>0.50217999999999996</v>
      </c>
      <c r="O25" s="65">
        <f>(1-food_insecure)*(0.49)+food_insecure*(0.7)</f>
        <v>0.50217999999999996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0.1507368593387603</v>
      </c>
      <c r="M26" s="65">
        <f>(1-food_insecure)*(0.21)+food_insecure*(0.3)</f>
        <v>0.21521999999999997</v>
      </c>
      <c r="N26" s="65">
        <f>(1-food_insecure)*(0.21)+food_insecure*(0.3)</f>
        <v>0.21521999999999997</v>
      </c>
      <c r="O26" s="65">
        <f>(1-food_insecure)*(0.21)+food_insecure*(0.3)</f>
        <v>0.21521999999999997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0.19792880052566519</v>
      </c>
      <c r="M27" s="65">
        <f>(1-food_insecure)*(0.3)</f>
        <v>0.28259999999999996</v>
      </c>
      <c r="N27" s="65">
        <f>(1-food_insecure)*(0.3)</f>
        <v>0.28259999999999996</v>
      </c>
      <c r="O27" s="65">
        <f>(1-food_insecure)*(0.3)</f>
        <v>0.28259999999999996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0.299615001678467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0.3362</v>
      </c>
      <c r="D34" s="65">
        <f t="shared" si="3"/>
        <v>0.3362</v>
      </c>
      <c r="E34" s="65">
        <f t="shared" si="3"/>
        <v>0.3362</v>
      </c>
      <c r="F34" s="65">
        <f t="shared" si="3"/>
        <v>0.3362</v>
      </c>
      <c r="G34" s="65">
        <f t="shared" si="3"/>
        <v>0.3362</v>
      </c>
      <c r="H34" s="65">
        <f t="shared" si="3"/>
        <v>0.3362</v>
      </c>
      <c r="I34" s="65">
        <f t="shared" si="3"/>
        <v>0.3362</v>
      </c>
      <c r="J34" s="65">
        <f t="shared" si="3"/>
        <v>0.3362</v>
      </c>
      <c r="K34" s="65">
        <f t="shared" si="3"/>
        <v>0.3362</v>
      </c>
      <c r="L34" s="65">
        <f t="shared" si="3"/>
        <v>0.3362</v>
      </c>
      <c r="M34" s="65">
        <f t="shared" si="3"/>
        <v>0.3362</v>
      </c>
      <c r="N34" s="65">
        <f t="shared" si="3"/>
        <v>0.3362</v>
      </c>
      <c r="O34" s="65">
        <f t="shared" si="3"/>
        <v>0.3362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Jrh4q3keg4f1fhx6y0vrKR20KPFvW6p+Ycloz1fY3/8Jt0ttypcybiRHfzl7WXl+x5BaiuDmQrJIGjezhkvNHg==" saltValue="qT4I2jw6klJFwZvNG4qI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2GLOS0mByWYwr5Q0jBNcY4Asz1wCLBNNqXC9B1myIMyf4i4yr7PGZnp8dtFackXoilGaJt2zlpzZyMmYe++x6Q==" saltValue="hrPPxQrGxafvSk7D04H4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78xTOC8dEbf2STaGD9bQovSqKuCBQRFbWign49jfY5UTFVhF5geMLa8whaIFvuPklQV7fLXdxC3ogZXE+lDZEw==" saltValue="FOhtPV84Yk6gYLuI615h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I8ZwkVBVUm+8Vn5HyIYfvIm+DdA9oaTYStuWoxx7ytxqew6WhTGFEIDgUMuuEsRiOcdpEJhA5JAyluhzj/OpSg==" saltValue="viQHL7IHqrhivCipkjv8y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n4BlDRRAWEb0lFspuAR7qSFwj9MKPwFsjC67PkqVnJ6qnIwbuckO/xLlGMig2wtQuDNIqjosY4PAEJ/TtHmRFg==" saltValue="0sZWezGtmi3qv/AJIRxyP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WzCX4BI7Jb2ufS2UsGg4xO/V0sIGvfkdGrSusLdzvsGLuCENxIRlD67dSs4NMzqXiF9X8MWeOBurAj+GXP+MsQ==" saltValue="uubpD22FxYp4dKEK44ykA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233682.68</v>
      </c>
      <c r="C2" s="53">
        <v>443000</v>
      </c>
      <c r="D2" s="53">
        <v>758000</v>
      </c>
      <c r="E2" s="53">
        <v>552000</v>
      </c>
      <c r="F2" s="53">
        <v>371000</v>
      </c>
      <c r="G2" s="14">
        <f t="shared" ref="G2:G11" si="0">C2+D2+E2+F2</f>
        <v>2124000</v>
      </c>
      <c r="H2" s="14">
        <f t="shared" ref="H2:H11" si="1">(B2 + stillbirth*B2/(1000-stillbirth))/(1-abortion)</f>
        <v>248957.14780326193</v>
      </c>
      <c r="I2" s="14">
        <f t="shared" ref="I2:I11" si="2">G2-H2</f>
        <v>1875042.8521967381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235776.046</v>
      </c>
      <c r="C3" s="53">
        <v>449000</v>
      </c>
      <c r="D3" s="53">
        <v>777000</v>
      </c>
      <c r="E3" s="53">
        <v>562000</v>
      </c>
      <c r="F3" s="53">
        <v>386000</v>
      </c>
      <c r="G3" s="14">
        <f t="shared" si="0"/>
        <v>2174000</v>
      </c>
      <c r="H3" s="14">
        <f t="shared" si="1"/>
        <v>251187.34487507027</v>
      </c>
      <c r="I3" s="14">
        <f t="shared" si="2"/>
        <v>1922812.6551249297</v>
      </c>
    </row>
    <row r="4" spans="1:9" ht="15.75" customHeight="1" x14ac:dyDescent="0.25">
      <c r="A4" s="7">
        <f t="shared" si="3"/>
        <v>2023</v>
      </c>
      <c r="B4" s="52">
        <v>237805.46400000001</v>
      </c>
      <c r="C4" s="53">
        <v>455000</v>
      </c>
      <c r="D4" s="53">
        <v>795000</v>
      </c>
      <c r="E4" s="53">
        <v>570000</v>
      </c>
      <c r="F4" s="53">
        <v>403000</v>
      </c>
      <c r="G4" s="14">
        <f t="shared" si="0"/>
        <v>2223000</v>
      </c>
      <c r="H4" s="14">
        <f t="shared" si="1"/>
        <v>253349.4140407466</v>
      </c>
      <c r="I4" s="14">
        <f t="shared" si="2"/>
        <v>1969650.5859592534</v>
      </c>
    </row>
    <row r="5" spans="1:9" ht="15.75" customHeight="1" x14ac:dyDescent="0.25">
      <c r="A5" s="7">
        <f t="shared" si="3"/>
        <v>2024</v>
      </c>
      <c r="B5" s="52">
        <v>239744.75399999999</v>
      </c>
      <c r="C5" s="53">
        <v>461000</v>
      </c>
      <c r="D5" s="53">
        <v>812000</v>
      </c>
      <c r="E5" s="53">
        <v>578000</v>
      </c>
      <c r="F5" s="53">
        <v>420000</v>
      </c>
      <c r="G5" s="14">
        <f t="shared" si="0"/>
        <v>2271000</v>
      </c>
      <c r="H5" s="14">
        <f t="shared" si="1"/>
        <v>255415.46406706166</v>
      </c>
      <c r="I5" s="14">
        <f t="shared" si="2"/>
        <v>2015584.5359329383</v>
      </c>
    </row>
    <row r="6" spans="1:9" ht="15.75" customHeight="1" x14ac:dyDescent="0.25">
      <c r="A6" s="7">
        <f t="shared" si="3"/>
        <v>2025</v>
      </c>
      <c r="B6" s="52">
        <v>241619.04800000001</v>
      </c>
      <c r="C6" s="53">
        <v>466000</v>
      </c>
      <c r="D6" s="53">
        <v>828000</v>
      </c>
      <c r="E6" s="53">
        <v>586000</v>
      </c>
      <c r="F6" s="53">
        <v>437000</v>
      </c>
      <c r="G6" s="14">
        <f t="shared" si="0"/>
        <v>2317000</v>
      </c>
      <c r="H6" s="14">
        <f t="shared" si="1"/>
        <v>257412.26968562428</v>
      </c>
      <c r="I6" s="14">
        <f t="shared" si="2"/>
        <v>2059587.7303143758</v>
      </c>
    </row>
    <row r="7" spans="1:9" ht="15.75" customHeight="1" x14ac:dyDescent="0.25">
      <c r="A7" s="7">
        <f t="shared" si="3"/>
        <v>2026</v>
      </c>
      <c r="B7" s="52">
        <v>243541.10079999999</v>
      </c>
      <c r="C7" s="53">
        <v>471000</v>
      </c>
      <c r="D7" s="53">
        <v>843000</v>
      </c>
      <c r="E7" s="53">
        <v>593000</v>
      </c>
      <c r="F7" s="53">
        <v>454000</v>
      </c>
      <c r="G7" s="14">
        <f t="shared" si="0"/>
        <v>2361000</v>
      </c>
      <c r="H7" s="14">
        <f t="shared" si="1"/>
        <v>259459.95581715647</v>
      </c>
      <c r="I7" s="14">
        <f t="shared" si="2"/>
        <v>2101540.0441828435</v>
      </c>
    </row>
    <row r="8" spans="1:9" ht="15.75" customHeight="1" x14ac:dyDescent="0.25">
      <c r="A8" s="7">
        <f t="shared" si="3"/>
        <v>2027</v>
      </c>
      <c r="B8" s="52">
        <v>245376.01439999999</v>
      </c>
      <c r="C8" s="53">
        <v>475000</v>
      </c>
      <c r="D8" s="53">
        <v>858000</v>
      </c>
      <c r="E8" s="53">
        <v>600000</v>
      </c>
      <c r="F8" s="53">
        <v>470000</v>
      </c>
      <c r="G8" s="14">
        <f t="shared" si="0"/>
        <v>2403000</v>
      </c>
      <c r="H8" s="14">
        <f t="shared" si="1"/>
        <v>261414.80696967413</v>
      </c>
      <c r="I8" s="14">
        <f t="shared" si="2"/>
        <v>2141585.1930303257</v>
      </c>
    </row>
    <row r="9" spans="1:9" ht="15.75" customHeight="1" x14ac:dyDescent="0.25">
      <c r="A9" s="7">
        <f t="shared" si="3"/>
        <v>2028</v>
      </c>
      <c r="B9" s="52">
        <v>247148.16960000011</v>
      </c>
      <c r="C9" s="53">
        <v>479000</v>
      </c>
      <c r="D9" s="53">
        <v>871000</v>
      </c>
      <c r="E9" s="53">
        <v>605000</v>
      </c>
      <c r="F9" s="53">
        <v>485000</v>
      </c>
      <c r="G9" s="14">
        <f t="shared" si="0"/>
        <v>2440000</v>
      </c>
      <c r="H9" s="14">
        <f t="shared" si="1"/>
        <v>263302.7975732428</v>
      </c>
      <c r="I9" s="14">
        <f t="shared" si="2"/>
        <v>2176697.2024267572</v>
      </c>
    </row>
    <row r="10" spans="1:9" ht="15.75" customHeight="1" x14ac:dyDescent="0.25">
      <c r="A10" s="7">
        <f t="shared" si="3"/>
        <v>2029</v>
      </c>
      <c r="B10" s="52">
        <v>248832.68479999999</v>
      </c>
      <c r="C10" s="53">
        <v>483000</v>
      </c>
      <c r="D10" s="53">
        <v>884000</v>
      </c>
      <c r="E10" s="53">
        <v>609000</v>
      </c>
      <c r="F10" s="53">
        <v>500000</v>
      </c>
      <c r="G10" s="14">
        <f t="shared" si="0"/>
        <v>2476000</v>
      </c>
      <c r="H10" s="14">
        <f t="shared" si="1"/>
        <v>265097.41966343456</v>
      </c>
      <c r="I10" s="14">
        <f t="shared" si="2"/>
        <v>2210902.5803365656</v>
      </c>
    </row>
    <row r="11" spans="1:9" ht="15.75" customHeight="1" x14ac:dyDescent="0.25">
      <c r="A11" s="7">
        <f t="shared" si="3"/>
        <v>2030</v>
      </c>
      <c r="B11" s="52">
        <v>250429.56</v>
      </c>
      <c r="C11" s="53">
        <v>487000</v>
      </c>
      <c r="D11" s="53">
        <v>895000</v>
      </c>
      <c r="E11" s="53">
        <v>612000</v>
      </c>
      <c r="F11" s="53">
        <v>512000</v>
      </c>
      <c r="G11" s="14">
        <f t="shared" si="0"/>
        <v>2506000</v>
      </c>
      <c r="H11" s="14">
        <f t="shared" si="1"/>
        <v>266798.6732402498</v>
      </c>
      <c r="I11" s="14">
        <f t="shared" si="2"/>
        <v>2239201.32675975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08x8k6rYjzW1pxP8qNNljFP/XVq4Vui3Vq21dniSDAmTvQUTi2pIkuRfbPXYg8sAH/P/ejRsIAEHb8E7k0Vww==" saltValue="+7CHVfjYNZMDy9/wA8fDo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TG9LnlFa7EPGuMiV6KvjiLyugjMTPh/kpmW4bPcc3LBJ55ZAS6jo3tuZDlouNjkDU5nVnvgAmTYI/NMAgfsuA==" saltValue="6FeGgk+kHxwkGnvqU4gQe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bdAh3e8bF4txlUvrKWv2S4ygoxs/gLGBHMn3UOSGVUEJBhdyc2KcrnBCkN6zPiKFKhPeSNNX+JKAglfADUjycw==" saltValue="phZbu0e9NdguBwXbSUHu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RUVvG9a5VbkS4K6cB/xjWkF87LmaByYqG9saoQbo6jOGXZ9spkF2y37x8yG1zMqL2zfDvdkaicMNdDWlIK6iqw==" saltValue="lO3w/YutjZ20/6bltJyD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EUw3Yrt8v79Yjtvs/l+NrDYfkAgBlbgSQXOvMKxCxp95fCurpbOs0stmoRcq9T8aQ6mWSar/Wrqggxz/fi7IOA==" saltValue="Rm+fYF06JA7o0gqTdAcW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1FQ1Su9J1GyCZg/Tu1DaB5jj8Hp0U6DY3j3GhMreWQS2BuZprZkT/iitjBPHgq84IIpZUMedHjlaqM208N+gbg==" saltValue="1FVeLTRiK1nbiqMoTgrq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FBvU5Irmr+noOyrG85jesSLqgTTPnCIfz0GwsaMS+8XFb72B7ZC6oA9Go9p81mh250ReYqL88Pw2JgB9Orj7uQ==" saltValue="wmDIkY50QfKbiMG552w7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ySj8ZfAbtvSeTNrFi+s6OEbf9uwNMRkUOKlzH87FHvRhgfiJmSKSqEfgd4cG2HGmc9tSpLtfKse5SUT7cRpBA==" saltValue="MSRWUFmd36Y0/siWJI3U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E3sk+8nfruc7DXsP/uOvA9ICv9Z884bu6l16OnI8xAI1CbuOr+N1J7Vk3OgCNqxSZEKjOkriqQqKHHiIBma9nA==" saltValue="xGx1eaO48k+CGv6ALP7a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4KAgGwPs4EUfvtD1r6OjqbZ7T9FrzbYel4jMJO/Lupsm9Tiz/sceqyJkvqcj+0xwPoxPoVbCBO9Egv/+q9Z88A==" saltValue="E0gajhYuJQs9PIOS27gFt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5.7541120243966206E-3</v>
      </c>
    </row>
    <row r="4" spans="1:8" ht="15.75" customHeight="1" x14ac:dyDescent="0.25">
      <c r="B4" s="16" t="s">
        <v>79</v>
      </c>
      <c r="C4" s="54">
        <v>0.14268318488338941</v>
      </c>
    </row>
    <row r="5" spans="1:8" ht="15.75" customHeight="1" x14ac:dyDescent="0.25">
      <c r="B5" s="16" t="s">
        <v>80</v>
      </c>
      <c r="C5" s="54">
        <v>6.5785561720206831E-2</v>
      </c>
    </row>
    <row r="6" spans="1:8" ht="15.75" customHeight="1" x14ac:dyDescent="0.25">
      <c r="B6" s="16" t="s">
        <v>81</v>
      </c>
      <c r="C6" s="54">
        <v>0.27520021588024851</v>
      </c>
    </row>
    <row r="7" spans="1:8" ht="15.75" customHeight="1" x14ac:dyDescent="0.25">
      <c r="B7" s="16" t="s">
        <v>82</v>
      </c>
      <c r="C7" s="54">
        <v>0.29976734700656832</v>
      </c>
    </row>
    <row r="8" spans="1:8" ht="15.75" customHeight="1" x14ac:dyDescent="0.25">
      <c r="B8" s="16" t="s">
        <v>83</v>
      </c>
      <c r="C8" s="54">
        <v>9.0253690999365765E-3</v>
      </c>
    </row>
    <row r="9" spans="1:8" ht="15.75" customHeight="1" x14ac:dyDescent="0.25">
      <c r="B9" s="16" t="s">
        <v>84</v>
      </c>
      <c r="C9" s="54">
        <v>0.11030239763639831</v>
      </c>
    </row>
    <row r="10" spans="1:8" ht="15.75" customHeight="1" x14ac:dyDescent="0.25">
      <c r="B10" s="16" t="s">
        <v>85</v>
      </c>
      <c r="C10" s="54">
        <v>9.1481811748855404E-2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0.14302478308377489</v>
      </c>
      <c r="D14" s="54">
        <v>0.14302478308377489</v>
      </c>
      <c r="E14" s="54">
        <v>0.14302478308377489</v>
      </c>
      <c r="F14" s="54">
        <v>0.14302478308377489</v>
      </c>
    </row>
    <row r="15" spans="1:8" ht="15.75" customHeight="1" x14ac:dyDescent="0.25">
      <c r="B15" s="16" t="s">
        <v>88</v>
      </c>
      <c r="C15" s="54">
        <v>0.25719474973121792</v>
      </c>
      <c r="D15" s="54">
        <v>0.25719474973121792</v>
      </c>
      <c r="E15" s="54">
        <v>0.25719474973121792</v>
      </c>
      <c r="F15" s="54">
        <v>0.25719474973121792</v>
      </c>
    </row>
    <row r="16" spans="1:8" ht="15.75" customHeight="1" x14ac:dyDescent="0.25">
      <c r="B16" s="16" t="s">
        <v>89</v>
      </c>
      <c r="C16" s="54">
        <v>3.12898059807699E-2</v>
      </c>
      <c r="D16" s="54">
        <v>3.12898059807699E-2</v>
      </c>
      <c r="E16" s="54">
        <v>3.12898059807699E-2</v>
      </c>
      <c r="F16" s="54">
        <v>3.12898059807699E-2</v>
      </c>
    </row>
    <row r="17" spans="1:8" ht="15.75" customHeight="1" x14ac:dyDescent="0.25">
      <c r="B17" s="16" t="s">
        <v>90</v>
      </c>
      <c r="C17" s="54">
        <v>1.3110986853380739E-2</v>
      </c>
      <c r="D17" s="54">
        <v>1.3110986853380739E-2</v>
      </c>
      <c r="E17" s="54">
        <v>1.3110986853380739E-2</v>
      </c>
      <c r="F17" s="54">
        <v>1.3110986853380739E-2</v>
      </c>
    </row>
    <row r="18" spans="1:8" ht="15.75" customHeight="1" x14ac:dyDescent="0.25">
      <c r="B18" s="16" t="s">
        <v>91</v>
      </c>
      <c r="C18" s="54">
        <v>2.042601631376223E-2</v>
      </c>
      <c r="D18" s="54">
        <v>2.042601631376223E-2</v>
      </c>
      <c r="E18" s="54">
        <v>2.042601631376223E-2</v>
      </c>
      <c r="F18" s="54">
        <v>2.042601631376223E-2</v>
      </c>
    </row>
    <row r="19" spans="1:8" ht="15.75" customHeight="1" x14ac:dyDescent="0.25">
      <c r="B19" s="16" t="s">
        <v>92</v>
      </c>
      <c r="C19" s="54">
        <v>3.053242524240431E-2</v>
      </c>
      <c r="D19" s="54">
        <v>3.053242524240431E-2</v>
      </c>
      <c r="E19" s="54">
        <v>3.053242524240431E-2</v>
      </c>
      <c r="F19" s="54">
        <v>3.053242524240431E-2</v>
      </c>
    </row>
    <row r="20" spans="1:8" ht="15.75" customHeight="1" x14ac:dyDescent="0.25">
      <c r="B20" s="16" t="s">
        <v>93</v>
      </c>
      <c r="C20" s="54">
        <v>3.9840904550209007E-2</v>
      </c>
      <c r="D20" s="54">
        <v>3.9840904550209007E-2</v>
      </c>
      <c r="E20" s="54">
        <v>3.9840904550209007E-2</v>
      </c>
      <c r="F20" s="54">
        <v>3.9840904550209007E-2</v>
      </c>
    </row>
    <row r="21" spans="1:8" ht="15.75" customHeight="1" x14ac:dyDescent="0.25">
      <c r="B21" s="16" t="s">
        <v>94</v>
      </c>
      <c r="C21" s="54">
        <v>0.1228087926271406</v>
      </c>
      <c r="D21" s="54">
        <v>0.1228087926271406</v>
      </c>
      <c r="E21" s="54">
        <v>0.1228087926271406</v>
      </c>
      <c r="F21" s="54">
        <v>0.1228087926271406</v>
      </c>
    </row>
    <row r="22" spans="1:8" ht="15.75" customHeight="1" x14ac:dyDescent="0.25">
      <c r="B22" s="16" t="s">
        <v>95</v>
      </c>
      <c r="C22" s="54">
        <v>0.34177153561734053</v>
      </c>
      <c r="D22" s="54">
        <v>0.34177153561734053</v>
      </c>
      <c r="E22" s="54">
        <v>0.34177153561734053</v>
      </c>
      <c r="F22" s="54">
        <v>0.34177153561734053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4.7899999999999998E-2</v>
      </c>
    </row>
    <row r="27" spans="1:8" ht="15.75" customHeight="1" x14ac:dyDescent="0.25">
      <c r="B27" s="16" t="s">
        <v>102</v>
      </c>
      <c r="C27" s="54">
        <v>1.8200000000000001E-2</v>
      </c>
    </row>
    <row r="28" spans="1:8" ht="15.75" customHeight="1" x14ac:dyDescent="0.25">
      <c r="B28" s="16" t="s">
        <v>103</v>
      </c>
      <c r="C28" s="54">
        <v>0.22969999999999999</v>
      </c>
    </row>
    <row r="29" spans="1:8" ht="15.75" customHeight="1" x14ac:dyDescent="0.25">
      <c r="B29" s="16" t="s">
        <v>104</v>
      </c>
      <c r="C29" s="54">
        <v>0.13800000000000001</v>
      </c>
    </row>
    <row r="30" spans="1:8" ht="15.75" customHeight="1" x14ac:dyDescent="0.25">
      <c r="B30" s="16" t="s">
        <v>2</v>
      </c>
      <c r="C30" s="54">
        <v>0.05</v>
      </c>
    </row>
    <row r="31" spans="1:8" ht="15.75" customHeight="1" x14ac:dyDescent="0.25">
      <c r="B31" s="16" t="s">
        <v>105</v>
      </c>
      <c r="C31" s="54">
        <v>7.0400000000000004E-2</v>
      </c>
    </row>
    <row r="32" spans="1:8" ht="15.75" customHeight="1" x14ac:dyDescent="0.25">
      <c r="B32" s="16" t="s">
        <v>106</v>
      </c>
      <c r="C32" s="54">
        <v>0.14729999999999999</v>
      </c>
    </row>
    <row r="33" spans="2:3" ht="15.75" customHeight="1" x14ac:dyDescent="0.25">
      <c r="B33" s="16" t="s">
        <v>107</v>
      </c>
      <c r="C33" s="54">
        <v>0.124</v>
      </c>
    </row>
    <row r="34" spans="2:3" ht="15.75" customHeight="1" x14ac:dyDescent="0.25">
      <c r="B34" s="16" t="s">
        <v>108</v>
      </c>
      <c r="C34" s="54">
        <v>0.1744999999977648</v>
      </c>
    </row>
    <row r="35" spans="2:3" ht="15.75" customHeight="1" x14ac:dyDescent="0.25">
      <c r="B35" s="24" t="s">
        <v>41</v>
      </c>
      <c r="C35" s="50">
        <f>SUM(C26:C34)</f>
        <v>0.99999999999776468</v>
      </c>
    </row>
  </sheetData>
  <sheetProtection algorithmName="SHA-512" hashValue="ESuhYcSd9GY8TqOyDmgwOoaRMCgYG/gHA3LWqE+JIlVsyMzCm3ig0y4p4dqZabLAbONx+439Z9tr2h8wuDpg5A==" saltValue="jb2v/AslwhfMVBD9VG1e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0.54311909000000003</v>
      </c>
      <c r="D2" s="55">
        <v>0.54311909000000003</v>
      </c>
      <c r="E2" s="55">
        <v>0.52528580000000002</v>
      </c>
      <c r="F2" s="55">
        <v>0.28365404</v>
      </c>
      <c r="G2" s="55">
        <v>0.23127618999999999</v>
      </c>
    </row>
    <row r="3" spans="1:15" ht="15.75" customHeight="1" x14ac:dyDescent="0.25">
      <c r="B3" s="7" t="s">
        <v>113</v>
      </c>
      <c r="C3" s="55">
        <v>0.22723450000000001</v>
      </c>
      <c r="D3" s="55">
        <v>0.22723450000000001</v>
      </c>
      <c r="E3" s="55">
        <v>0.19503279000000001</v>
      </c>
      <c r="F3" s="55">
        <v>0.25950790000000001</v>
      </c>
      <c r="G3" s="55">
        <v>0.28830090000000003</v>
      </c>
    </row>
    <row r="4" spans="1:15" ht="15.75" customHeight="1" x14ac:dyDescent="0.25">
      <c r="B4" s="7" t="s">
        <v>114</v>
      </c>
      <c r="C4" s="56">
        <v>0.10630116000000001</v>
      </c>
      <c r="D4" s="56">
        <v>0.10630116000000001</v>
      </c>
      <c r="E4" s="56">
        <v>0.10819668</v>
      </c>
      <c r="F4" s="56">
        <v>0.23807610000000001</v>
      </c>
      <c r="G4" s="56">
        <v>0.27204131999999998</v>
      </c>
    </row>
    <row r="5" spans="1:15" ht="15.75" customHeight="1" x14ac:dyDescent="0.25">
      <c r="B5" s="7" t="s">
        <v>115</v>
      </c>
      <c r="C5" s="56">
        <v>0.12334525</v>
      </c>
      <c r="D5" s="56">
        <v>0.12334525</v>
      </c>
      <c r="E5" s="56">
        <v>0.17148476000000001</v>
      </c>
      <c r="F5" s="56">
        <v>0.21876197999999999</v>
      </c>
      <c r="G5" s="56">
        <v>0.2083816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0.80029105999999994</v>
      </c>
      <c r="D8" s="55">
        <v>0.80029105999999994</v>
      </c>
      <c r="E8" s="55">
        <v>0.69809257999999996</v>
      </c>
      <c r="F8" s="55">
        <v>0.68420860000000006</v>
      </c>
      <c r="G8" s="55">
        <v>0.77580223000000004</v>
      </c>
    </row>
    <row r="9" spans="1:15" ht="15.75" customHeight="1" x14ac:dyDescent="0.25">
      <c r="B9" s="7" t="s">
        <v>118</v>
      </c>
      <c r="C9" s="55">
        <v>0.10620904</v>
      </c>
      <c r="D9" s="55">
        <v>0.10620904</v>
      </c>
      <c r="E9" s="55">
        <v>0.14928182000000001</v>
      </c>
      <c r="F9" s="55">
        <v>0.19578638000000001</v>
      </c>
      <c r="G9" s="55">
        <v>0.14938444000000001</v>
      </c>
    </row>
    <row r="10" spans="1:15" ht="15.75" customHeight="1" x14ac:dyDescent="0.25">
      <c r="B10" s="7" t="s">
        <v>119</v>
      </c>
      <c r="C10" s="56">
        <v>7.2205738999999991E-2</v>
      </c>
      <c r="D10" s="56">
        <v>7.2205738999999991E-2</v>
      </c>
      <c r="E10" s="56">
        <v>0.10574055</v>
      </c>
      <c r="F10" s="56">
        <v>6.5383062000000006E-2</v>
      </c>
      <c r="G10" s="56">
        <v>4.4441494999999998E-2</v>
      </c>
    </row>
    <row r="11" spans="1:15" ht="15.75" customHeight="1" x14ac:dyDescent="0.25">
      <c r="B11" s="7" t="s">
        <v>120</v>
      </c>
      <c r="C11" s="56">
        <v>2.1294177000000001E-2</v>
      </c>
      <c r="D11" s="56">
        <v>2.1294177000000001E-2</v>
      </c>
      <c r="E11" s="56">
        <v>4.6885056000000001E-2</v>
      </c>
      <c r="F11" s="56">
        <v>5.4621935000000003E-2</v>
      </c>
      <c r="G11" s="56">
        <v>3.0371796999999999E-2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0.77228757749999999</v>
      </c>
      <c r="D14" s="57">
        <v>0.74513917951399999</v>
      </c>
      <c r="E14" s="57">
        <v>0.74513917951399999</v>
      </c>
      <c r="F14" s="57">
        <v>0.494011782678</v>
      </c>
      <c r="G14" s="57">
        <v>0.494011782678</v>
      </c>
      <c r="H14" s="58">
        <v>0.44800000000000001</v>
      </c>
      <c r="I14" s="58">
        <v>0.44800000000000001</v>
      </c>
      <c r="J14" s="58">
        <v>0.44800000000000001</v>
      </c>
      <c r="K14" s="58">
        <v>0.44800000000000001</v>
      </c>
      <c r="L14" s="58">
        <v>0.27878147048700003</v>
      </c>
      <c r="M14" s="58">
        <v>0.34379116114500002</v>
      </c>
      <c r="N14" s="58">
        <v>0.29680106730599998</v>
      </c>
      <c r="O14" s="58">
        <v>0.33379267299199999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0.37324852853047191</v>
      </c>
      <c r="D15" s="55">
        <f t="shared" si="0"/>
        <v>0.36012763950486265</v>
      </c>
      <c r="E15" s="55">
        <f t="shared" si="0"/>
        <v>0.36012763950486265</v>
      </c>
      <c r="F15" s="55">
        <f t="shared" si="0"/>
        <v>0.23875713702164111</v>
      </c>
      <c r="G15" s="55">
        <f t="shared" si="0"/>
        <v>0.23875713702164111</v>
      </c>
      <c r="H15" s="55">
        <f t="shared" si="0"/>
        <v>0.21651952673245145</v>
      </c>
      <c r="I15" s="55">
        <f t="shared" si="0"/>
        <v>0.21651952673245145</v>
      </c>
      <c r="J15" s="55">
        <f t="shared" si="0"/>
        <v>0.21651952673245145</v>
      </c>
      <c r="K15" s="55">
        <f t="shared" si="0"/>
        <v>0.21651952673245145</v>
      </c>
      <c r="L15" s="55">
        <f t="shared" si="0"/>
        <v>0.13473578582951368</v>
      </c>
      <c r="M15" s="55">
        <f t="shared" si="0"/>
        <v>0.16615513282570393</v>
      </c>
      <c r="N15" s="55">
        <f t="shared" si="0"/>
        <v>0.14344470229192319</v>
      </c>
      <c r="O15" s="55">
        <f t="shared" si="0"/>
        <v>0.16132283835488342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YOXtVHKcbK0kHQNX/mdJ88yE/HyHHDyMf0tadWgOD75/o43nb+S4uoBk3BFrJwBvB1XUip78dJdwRt1wpEG0mw==" saltValue="pxGoygfjHKNnswfKlGRs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0.81596919999999995</v>
      </c>
      <c r="D2" s="56">
        <v>0.57684040000000003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3.2133630000000003E-2</v>
      </c>
      <c r="D3" s="56">
        <v>7.5453989999999999E-2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7.7461189999999999E-2</v>
      </c>
      <c r="D4" s="56">
        <v>0.2976355</v>
      </c>
      <c r="E4" s="56">
        <v>0</v>
      </c>
      <c r="F4" s="56">
        <v>0</v>
      </c>
      <c r="G4" s="56">
        <v>0</v>
      </c>
    </row>
    <row r="5" spans="1:7" x14ac:dyDescent="0.25">
      <c r="B5" s="98" t="s">
        <v>132</v>
      </c>
      <c r="C5" s="55">
        <v>7.443598000000011E-2</v>
      </c>
      <c r="D5" s="55">
        <v>5.0070110000000098E-2</v>
      </c>
      <c r="E5" s="55">
        <v>1</v>
      </c>
      <c r="F5" s="55">
        <v>1</v>
      </c>
      <c r="G5" s="55">
        <v>1</v>
      </c>
    </row>
  </sheetData>
  <sheetProtection algorithmName="SHA-512" hashValue="STvjjQwaLY/jjAAbNVi/rDHwxEZ9d3zD91D/xmZZm5hXsx+Jqc6lQkzYaXVBlugjVTWcWaQgn/JsuX9aKS0MbQ==" saltValue="5RCH45BAMjkmIg/kubo1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xx4uPZfei7WIkpfeWRhBYENcaQE6lq6YiG1qVXsbiTNIvKPn7OsHX0ZE1k70IfNHDh5IU+YCtYMgqasHp6IKkw==" saltValue="tvvTK6lzeCRrYG17mTwh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L6rRMLHWvsMmPESHFsfZ2Wg/ATkj1LpfeJGPfdTEcD2r70doAl0SKdZWxKUE/tRgZKjD/6U0f89DLDPUOyMZ3A==" saltValue="aSrNjTrNNgZOCPyia8Kg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0Xt2twZNy5CPSD+6veNis3x/m4Mldptsb63UlPWv3abrl+DyjeLLCISwLNE7SAsIdvH1uePp0vaf3sNT+GsvDw==" saltValue="wCmgYYYMTYWg2SVIEqJ+9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DHWv+CoTHb/EqXmqiFTGl/v+/CCYCWdLRtqo0zHGmZV2eZLIMAIL5OYjtn4eX9OYGdo5R4yH+sOh4pUL9Oklnw==" saltValue="VCovtCNTKFec0MJdfEk9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2022-02-01T04:39:00Z</dcterms:modified>
</cp:coreProperties>
</file>