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F7CEB02-8F94-4521-9AC1-AB319558F63E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A21" i="2"/>
  <c r="A13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I2" i="2" s="1"/>
  <c r="A2" i="2"/>
  <c r="A32" i="2" s="1"/>
  <c r="C33" i="1"/>
  <c r="C20" i="1"/>
  <c r="I6" i="2" l="1"/>
  <c r="I10" i="2"/>
  <c r="I38" i="2"/>
  <c r="A29" i="2"/>
  <c r="A37" i="2"/>
  <c r="A3" i="2"/>
  <c r="A4" i="2" s="1"/>
  <c r="A5" i="2" s="1"/>
  <c r="A6" i="2" s="1"/>
  <c r="A7" i="2" s="1"/>
  <c r="A8" i="2" s="1"/>
  <c r="A9" i="2" s="1"/>
  <c r="A10" i="2" s="1"/>
  <c r="A11" i="2" s="1"/>
  <c r="I3" i="2"/>
  <c r="I7" i="2"/>
  <c r="I11" i="2"/>
  <c r="A17" i="2"/>
  <c r="A25" i="2"/>
  <c r="A33" i="2"/>
  <c r="A18" i="2"/>
  <c r="A26" i="2"/>
  <c r="A34" i="2"/>
  <c r="A39" i="2"/>
  <c r="A19" i="2"/>
  <c r="A27" i="2"/>
  <c r="A35" i="2"/>
  <c r="A12" i="2"/>
  <c r="A20" i="2"/>
  <c r="A28" i="2"/>
  <c r="A36" i="2"/>
  <c r="A14" i="2"/>
  <c r="A22" i="2"/>
  <c r="A30" i="2"/>
  <c r="A38" i="2"/>
  <c r="A40" i="2"/>
  <c r="D58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<sst xmlns="http://schemas.openxmlformats.org/spreadsheetml/2006/main" count="2092" uniqueCount="337">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</sst>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717961.1953125</v>
      </c>
    </row>
    <row r="8" spans="1:3" ht="15" customHeight="1" x14ac:dyDescent="0.25">
      <c r="B8" s="7" t="s">
        <v>19</v>
      </c>
      <c r="C8" s="46">
        <v>0.26400000000000001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0.66318046569824207</v>
      </c>
    </row>
    <row r="11" spans="1:3" ht="15" customHeight="1" x14ac:dyDescent="0.25">
      <c r="B11" s="7" t="s">
        <v>22</v>
      </c>
      <c r="C11" s="46">
        <v>0.77400000000000002</v>
      </c>
    </row>
    <row r="12" spans="1:3" ht="15" customHeight="1" x14ac:dyDescent="0.25">
      <c r="B12" s="7" t="s">
        <v>23</v>
      </c>
      <c r="C12" s="46">
        <v>0.89400000000000002</v>
      </c>
    </row>
    <row r="13" spans="1:3" ht="15" customHeight="1" x14ac:dyDescent="0.25">
      <c r="B13" s="7" t="s">
        <v>24</v>
      </c>
      <c r="C13" s="46">
        <v>0.17399999999999999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0.1144</v>
      </c>
    </row>
    <row r="24" spans="1:3" ht="15" customHeight="1" x14ac:dyDescent="0.25">
      <c r="B24" s="12" t="s">
        <v>33</v>
      </c>
      <c r="C24" s="47">
        <v>0.50659999999999994</v>
      </c>
    </row>
    <row r="25" spans="1:3" ht="15" customHeight="1" x14ac:dyDescent="0.25">
      <c r="B25" s="12" t="s">
        <v>34</v>
      </c>
      <c r="C25" s="47">
        <v>0.32169999999999999</v>
      </c>
    </row>
    <row r="26" spans="1:3" ht="15" customHeight="1" x14ac:dyDescent="0.25">
      <c r="B26" s="12" t="s">
        <v>35</v>
      </c>
      <c r="C26" s="47">
        <v>5.7299999999999997E-2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10.855233383654999</v>
      </c>
    </row>
    <row r="38" spans="1:5" ht="15" customHeight="1" x14ac:dyDescent="0.25">
      <c r="B38" s="28" t="s">
        <v>45</v>
      </c>
      <c r="C38" s="117">
        <v>16.633302094890301</v>
      </c>
      <c r="D38" s="9"/>
      <c r="E38" s="10"/>
    </row>
    <row r="39" spans="1:5" ht="15" customHeight="1" x14ac:dyDescent="0.25">
      <c r="B39" s="28" t="s">
        <v>46</v>
      </c>
      <c r="C39" s="117">
        <v>19.440405974279098</v>
      </c>
      <c r="D39" s="9"/>
      <c r="E39" s="9"/>
    </row>
    <row r="40" spans="1:5" ht="15" customHeight="1" x14ac:dyDescent="0.25">
      <c r="B40" s="28" t="s">
        <v>47</v>
      </c>
      <c r="C40" s="117">
        <v>129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10.536070929999999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1.6274299999999998E-2</v>
      </c>
      <c r="D45" s="9"/>
    </row>
    <row r="46" spans="1:5" ht="15.75" customHeight="1" x14ac:dyDescent="0.25">
      <c r="B46" s="28" t="s">
        <v>52</v>
      </c>
      <c r="C46" s="47">
        <v>6.1429240000000003E-2</v>
      </c>
      <c r="D46" s="9"/>
    </row>
    <row r="47" spans="1:5" ht="15.75" customHeight="1" x14ac:dyDescent="0.25">
      <c r="B47" s="28" t="s">
        <v>53</v>
      </c>
      <c r="C47" s="47">
        <v>9.1690599999999997E-2</v>
      </c>
      <c r="D47" s="9"/>
      <c r="E47" s="10"/>
    </row>
    <row r="48" spans="1:5" ht="15" customHeight="1" x14ac:dyDescent="0.25">
      <c r="B48" s="28" t="s">
        <v>54</v>
      </c>
      <c r="C48" s="48">
        <v>0.83060586000000003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3.2</v>
      </c>
      <c r="D51" s="9"/>
    </row>
    <row r="52" spans="1:4" ht="15" customHeight="1" x14ac:dyDescent="0.25">
      <c r="B52" s="28" t="s">
        <v>57</v>
      </c>
      <c r="C52" s="51">
        <v>3.2</v>
      </c>
    </row>
    <row r="53" spans="1:4" ht="15.75" customHeight="1" x14ac:dyDescent="0.25">
      <c r="B53" s="28" t="s">
        <v>58</v>
      </c>
      <c r="C53" s="51">
        <v>3.2</v>
      </c>
    </row>
    <row r="54" spans="1:4" ht="15.75" customHeight="1" x14ac:dyDescent="0.25">
      <c r="B54" s="28" t="s">
        <v>59</v>
      </c>
      <c r="C54" s="51">
        <v>3.2</v>
      </c>
    </row>
    <row r="55" spans="1:4" ht="15.75" customHeight="1" x14ac:dyDescent="0.25">
      <c r="B55" s="28" t="s">
        <v>60</v>
      </c>
      <c r="C55" s="51">
        <v>3.2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1.934703748488513E-2</v>
      </c>
    </row>
    <row r="59" spans="1:4" ht="15.75" customHeight="1" x14ac:dyDescent="0.25">
      <c r="B59" s="28" t="s">
        <v>63</v>
      </c>
      <c r="C59" s="46">
        <v>0.54671681971830577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8.0900145000000006</v>
      </c>
    </row>
    <row r="63" spans="1:4" ht="15.75" customHeight="1" x14ac:dyDescent="0.25">
      <c r="A63" s="39"/>
    </row>
  </sheetData>
  <sheetProtection algorithmName="SHA-512" hashValue="v5qcRCZT0cI831otzM7gzahLT/i/BZPzkcyQ98omNd7HHu3/3oq3JW6ocpQE+Dg60p69J/H8ZoZbrFXAK5Ek5w==" saltValue="tFjnq0gP2Ra1eMCb68Cu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0.22480435470051799</v>
      </c>
      <c r="C2" s="115">
        <v>0.95</v>
      </c>
      <c r="D2" s="116">
        <v>57.606667746332491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39.870654846835578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407.77420725897531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0.96257147415530553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13.0029542906315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13.0029542906315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13.0029542906315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13.0029542906315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13.0029542906315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13.0029542906315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0.70972009052684637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0.20165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0.520675</v>
      </c>
      <c r="C18" s="115">
        <v>0.95</v>
      </c>
      <c r="D18" s="116">
        <v>9.4026515569123248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0.520675</v>
      </c>
      <c r="C19" s="115">
        <v>0.95</v>
      </c>
      <c r="D19" s="116">
        <v>9.4026515569123248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0.93210550000000003</v>
      </c>
      <c r="C21" s="115">
        <v>0.95</v>
      </c>
      <c r="D21" s="116">
        <v>12.07130746537854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22.434109984381621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4.2735719414984246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0.69751328097054999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18.56902833381691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7.1380570530891405E-2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0.70400000000000007</v>
      </c>
      <c r="C29" s="115">
        <v>0.95</v>
      </c>
      <c r="D29" s="116">
        <v>112.6831812504641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0.38594540069210109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1.5229281476965579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0.221929475665093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0.93621555943179702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0.796015253008444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5.5334670981932863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0.89783691431137891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+gDgeLtQU5vRFe3OhGCd+60LF2Kp80Ft4xXvuspfpsoq8h2/9cwVaGWD2OPQtwYvFwk3a3skgBWASoLhoSTJzA==" saltValue="EO1P/aOKSrXD+bP9/kZzP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nZAapfJGB889321XOiwPMp61x2Om3syb3h4eea42snV1VZNrq/1TWXmDAre8PGvwLC9YHzcaZRj5v1Mda/XQXw==" saltValue="KS8VJUdNug3CVlI9Kdogi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FiTjZFU2gpIJOkcXuvXpZZFhwYFbCqn3FumHWVEL8ZGfUC/j4Lem/UNVMbzDZpNXe0ELhBj3pk/zd5brW49nzA==" saltValue="D4pdUS99h7/GtJPO2HSfH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5">
      <c r="A3" s="4" t="s">
        <v>209</v>
      </c>
      <c r="B3" s="18">
        <f>frac_mam_1month * 2.6</f>
        <v>6.8953973054885889E-2</v>
      </c>
      <c r="C3" s="18">
        <f>frac_mam_1_5months * 2.6</f>
        <v>6.8953973054885889E-2</v>
      </c>
      <c r="D3" s="18">
        <f>frac_mam_6_11months * 2.6</f>
        <v>5.9499918483197399E-3</v>
      </c>
      <c r="E3" s="18">
        <f>frac_mam_12_23months * 2.6</f>
        <v>1.3200780563056579E-2</v>
      </c>
      <c r="F3" s="18">
        <f>frac_mam_24_59months * 2.6</f>
        <v>9.8195083905011603E-3</v>
      </c>
    </row>
    <row r="4" spans="1:6" ht="15.75" customHeight="1" x14ac:dyDescent="0.25">
      <c r="A4" s="4" t="s">
        <v>208</v>
      </c>
      <c r="B4" s="18">
        <f>frac_sam_1month * 2.6</f>
        <v>6.0713700950145624E-2</v>
      </c>
      <c r="C4" s="18">
        <f>frac_sam_1_5months * 2.6</f>
        <v>6.0713700950145624E-2</v>
      </c>
      <c r="D4" s="18">
        <f>frac_sam_6_11months * 2.6</f>
        <v>0</v>
      </c>
      <c r="E4" s="18">
        <f>frac_sam_12_23months * 2.6</f>
        <v>6.3535451889038998E-3</v>
      </c>
      <c r="F4" s="18">
        <f>frac_sam_24_59months * 2.6</f>
        <v>3.9512213319540003E-3</v>
      </c>
    </row>
  </sheetData>
  <sheetProtection algorithmName="SHA-512" hashValue="uX8bQ9zEJA4suCEu+XYGeAXATlrQxVm+nq1G8CY78yEgXssRc/vR/y7VhkIcLjPwrzt2/bfpZHVAOlg89VfsIQ==" saltValue="JWe4FJb1UnffafwxjLl2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0.26400000000000001</v>
      </c>
      <c r="E2" s="65">
        <f>food_insecure</f>
        <v>0.26400000000000001</v>
      </c>
      <c r="F2" s="65">
        <f>food_insecure</f>
        <v>0.26400000000000001</v>
      </c>
      <c r="G2" s="65">
        <f>food_insecure</f>
        <v>0.26400000000000001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0.26400000000000001</v>
      </c>
      <c r="F5" s="65">
        <f>food_insecure</f>
        <v>0.26400000000000001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0.26400000000000001</v>
      </c>
      <c r="F8" s="65">
        <f>food_insecure</f>
        <v>0.26400000000000001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0.26400000000000001</v>
      </c>
      <c r="F9" s="65">
        <f>food_insecure</f>
        <v>0.26400000000000001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0.89400000000000002</v>
      </c>
      <c r="E10" s="65">
        <f>IF(ISBLANK(comm_deliv), frac_children_health_facility,1)</f>
        <v>0.89400000000000002</v>
      </c>
      <c r="F10" s="65">
        <f>IF(ISBLANK(comm_deliv), frac_children_health_facility,1)</f>
        <v>0.89400000000000002</v>
      </c>
      <c r="G10" s="65">
        <f>IF(ISBLANK(comm_deliv), frac_children_health_facility,1)</f>
        <v>0.89400000000000002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0.26400000000000001</v>
      </c>
      <c r="I15" s="65">
        <f>food_insecure</f>
        <v>0.26400000000000001</v>
      </c>
      <c r="J15" s="65">
        <f>food_insecure</f>
        <v>0.26400000000000001</v>
      </c>
      <c r="K15" s="65">
        <f>food_insecure</f>
        <v>0.26400000000000001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0.77400000000000002</v>
      </c>
      <c r="I18" s="65">
        <f>frac_PW_health_facility</f>
        <v>0.77400000000000002</v>
      </c>
      <c r="J18" s="65">
        <f>frac_PW_health_facility</f>
        <v>0.77400000000000002</v>
      </c>
      <c r="K18" s="65">
        <f>frac_PW_health_facility</f>
        <v>0.77400000000000002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0.17399999999999999</v>
      </c>
      <c r="M24" s="65">
        <f>famplan_unmet_need</f>
        <v>0.17399999999999999</v>
      </c>
      <c r="N24" s="65">
        <f>famplan_unmet_need</f>
        <v>0.17399999999999999</v>
      </c>
      <c r="O24" s="65">
        <f>famplan_unmet_need</f>
        <v>0.17399999999999999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0.18371484678955083</v>
      </c>
      <c r="M25" s="65">
        <f>(1-food_insecure)*(0.49)+food_insecure*(0.7)</f>
        <v>0.54543999999999992</v>
      </c>
      <c r="N25" s="65">
        <f>(1-food_insecure)*(0.49)+food_insecure*(0.7)</f>
        <v>0.54543999999999992</v>
      </c>
      <c r="O25" s="65">
        <f>(1-food_insecure)*(0.49)+food_insecure*(0.7)</f>
        <v>0.54543999999999992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7.8734934338378942E-2</v>
      </c>
      <c r="M26" s="65">
        <f>(1-food_insecure)*(0.21)+food_insecure*(0.3)</f>
        <v>0.23376000000000002</v>
      </c>
      <c r="N26" s="65">
        <f>(1-food_insecure)*(0.21)+food_insecure*(0.3)</f>
        <v>0.23376000000000002</v>
      </c>
      <c r="O26" s="65">
        <f>(1-food_insecure)*(0.21)+food_insecure*(0.3)</f>
        <v>0.23376000000000002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7.4369753173828143E-2</v>
      </c>
      <c r="M27" s="65">
        <f>(1-food_insecure)*(0.3)</f>
        <v>0.2208</v>
      </c>
      <c r="N27" s="65">
        <f>(1-food_insecure)*(0.3)</f>
        <v>0.2208</v>
      </c>
      <c r="O27" s="65">
        <f>(1-food_insecure)*(0.3)</f>
        <v>0.2208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0.66318046569824207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vX9acjQbGzLFVoqtZZK+X1qTrLUqWmKIc7xLEQAxSw2V4E+2cwzMMl/e6fBxNMdiCvOu1PFF6u3zaXMb96dTlQ==" saltValue="SG57oT/oF0XftiiM72iM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f/osZkm9QUFlb4lIYtijn1rWN0KkImgbRS8zGzDLsV/94n289N8FCxXLW+jfVXPSB3Jnu2pOZS8U48mMSH85hA==" saltValue="idV5OZNbSWha9aMjCHrGO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CrPwd2Wmry2V3iuy1IJwKvC6L3ZFdbgtU2z42HxGWWshSSaJDq4q9J/D/ofMZYbxWv9ilV4x6yzLWoErHSTKpQ==" saltValue="Bf9gXDAOqk3D7UyCAQY5Q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3GZkYu7z5F0UGKWA7alomjExnAcnHI8Nl6WLNooRdb0Wie9QuNaCyaycVInlXuNsCr9XcfgpnsnkR0uem36vng==" saltValue="XdhHziYLY7WhJKTmEA5JM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MTinsvjy1K8FuBS4c0F3WuRHMzTluT+05IWHi1z5rrxlkEugMYfb1zwkmvwhMF+A4yY/orsMMUK6n93ig6hdGQ==" saltValue="Rv2Ii/BDbbGxEU4UdSeC+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bMn9WHWwpE17qNSrNrDs3XEgkX+Tvr++1Jqtvp97UC1vfD4J2GFc7OXggjvFvuznPKgmyHvS9uQ8EpCUp1zX2w==" saltValue="S+t5Lp8WF/DwPajhOOhH/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141296.87</v>
      </c>
      <c r="C2" s="53">
        <v>317000</v>
      </c>
      <c r="D2" s="53">
        <v>643000</v>
      </c>
      <c r="E2" s="53">
        <v>2551000</v>
      </c>
      <c r="F2" s="53">
        <v>2127000</v>
      </c>
      <c r="G2" s="14">
        <f t="shared" ref="G2:G11" si="0">C2+D2+E2+F2</f>
        <v>5638000</v>
      </c>
      <c r="H2" s="14">
        <f t="shared" ref="H2:H11" si="1">(B2 + stillbirth*B2/(1000-stillbirth))/(1-abortion)</f>
        <v>149687.03989436672</v>
      </c>
      <c r="I2" s="14">
        <f t="shared" ref="I2:I11" si="2">G2-H2</f>
        <v>5488312.9601056334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140825.8432</v>
      </c>
      <c r="C3" s="53">
        <v>318000</v>
      </c>
      <c r="D3" s="53">
        <v>642000</v>
      </c>
      <c r="E3" s="53">
        <v>2585000</v>
      </c>
      <c r="F3" s="53">
        <v>2164000</v>
      </c>
      <c r="G3" s="14">
        <f t="shared" si="0"/>
        <v>5709000</v>
      </c>
      <c r="H3" s="14">
        <f t="shared" si="1"/>
        <v>149188.04365048025</v>
      </c>
      <c r="I3" s="14">
        <f t="shared" si="2"/>
        <v>5559811.95634952</v>
      </c>
    </row>
    <row r="4" spans="1:9" ht="15.75" customHeight="1" x14ac:dyDescent="0.25">
      <c r="A4" s="7">
        <f t="shared" si="3"/>
        <v>2023</v>
      </c>
      <c r="B4" s="52">
        <v>140307.38759999999</v>
      </c>
      <c r="C4" s="53">
        <v>320000</v>
      </c>
      <c r="D4" s="53">
        <v>640000</v>
      </c>
      <c r="E4" s="53">
        <v>2614000</v>
      </c>
      <c r="F4" s="53">
        <v>2201000</v>
      </c>
      <c r="G4" s="14">
        <f t="shared" si="0"/>
        <v>5775000</v>
      </c>
      <c r="H4" s="14">
        <f t="shared" si="1"/>
        <v>148638.8022972878</v>
      </c>
      <c r="I4" s="14">
        <f t="shared" si="2"/>
        <v>5626361.1977027124</v>
      </c>
    </row>
    <row r="5" spans="1:9" ht="15.75" customHeight="1" x14ac:dyDescent="0.25">
      <c r="A5" s="7">
        <f t="shared" si="3"/>
        <v>2024</v>
      </c>
      <c r="B5" s="52">
        <v>139703.71479999999</v>
      </c>
      <c r="C5" s="53">
        <v>322000</v>
      </c>
      <c r="D5" s="53">
        <v>638000</v>
      </c>
      <c r="E5" s="53">
        <v>2637000</v>
      </c>
      <c r="F5" s="53">
        <v>2239000</v>
      </c>
      <c r="G5" s="14">
        <f t="shared" si="0"/>
        <v>5836000</v>
      </c>
      <c r="H5" s="14">
        <f t="shared" si="1"/>
        <v>147999.28356982596</v>
      </c>
      <c r="I5" s="14">
        <f t="shared" si="2"/>
        <v>5688000.7164301742</v>
      </c>
    </row>
    <row r="6" spans="1:9" ht="15.75" customHeight="1" x14ac:dyDescent="0.25">
      <c r="A6" s="7">
        <f t="shared" si="3"/>
        <v>2025</v>
      </c>
      <c r="B6" s="52">
        <v>139035.16500000001</v>
      </c>
      <c r="C6" s="53">
        <v>323000</v>
      </c>
      <c r="D6" s="53">
        <v>636000</v>
      </c>
      <c r="E6" s="53">
        <v>2652000</v>
      </c>
      <c r="F6" s="53">
        <v>2276000</v>
      </c>
      <c r="G6" s="14">
        <f t="shared" si="0"/>
        <v>5887000</v>
      </c>
      <c r="H6" s="14">
        <f t="shared" si="1"/>
        <v>147291.035463665</v>
      </c>
      <c r="I6" s="14">
        <f t="shared" si="2"/>
        <v>5739708.9645363353</v>
      </c>
    </row>
    <row r="7" spans="1:9" ht="15.75" customHeight="1" x14ac:dyDescent="0.25">
      <c r="A7" s="7">
        <f t="shared" si="3"/>
        <v>2026</v>
      </c>
      <c r="B7" s="52">
        <v>138270.8916</v>
      </c>
      <c r="C7" s="53">
        <v>323000</v>
      </c>
      <c r="D7" s="53">
        <v>633000</v>
      </c>
      <c r="E7" s="53">
        <v>2661000</v>
      </c>
      <c r="F7" s="53">
        <v>2314000</v>
      </c>
      <c r="G7" s="14">
        <f t="shared" si="0"/>
        <v>5931000</v>
      </c>
      <c r="H7" s="14">
        <f t="shared" si="1"/>
        <v>146481.3797160465</v>
      </c>
      <c r="I7" s="14">
        <f t="shared" si="2"/>
        <v>5784518.6202839538</v>
      </c>
    </row>
    <row r="8" spans="1:9" ht="15.75" customHeight="1" x14ac:dyDescent="0.25">
      <c r="A8" s="7">
        <f t="shared" si="3"/>
        <v>2027</v>
      </c>
      <c r="B8" s="52">
        <v>137406.79319999999</v>
      </c>
      <c r="C8" s="53">
        <v>323000</v>
      </c>
      <c r="D8" s="53">
        <v>630000</v>
      </c>
      <c r="E8" s="53">
        <v>2662000</v>
      </c>
      <c r="F8" s="53">
        <v>2352000</v>
      </c>
      <c r="G8" s="14">
        <f t="shared" si="0"/>
        <v>5967000</v>
      </c>
      <c r="H8" s="14">
        <f t="shared" si="1"/>
        <v>145565.9713869486</v>
      </c>
      <c r="I8" s="14">
        <f t="shared" si="2"/>
        <v>5821434.0286130514</v>
      </c>
    </row>
    <row r="9" spans="1:9" ht="15.75" customHeight="1" x14ac:dyDescent="0.25">
      <c r="A9" s="7">
        <f t="shared" si="3"/>
        <v>2028</v>
      </c>
      <c r="B9" s="52">
        <v>136498.68479999999</v>
      </c>
      <c r="C9" s="53">
        <v>322000</v>
      </c>
      <c r="D9" s="53">
        <v>628000</v>
      </c>
      <c r="E9" s="53">
        <v>2656000</v>
      </c>
      <c r="F9" s="53">
        <v>2389000</v>
      </c>
      <c r="G9" s="14">
        <f t="shared" si="0"/>
        <v>5995000</v>
      </c>
      <c r="H9" s="14">
        <f t="shared" si="1"/>
        <v>144603.93975596337</v>
      </c>
      <c r="I9" s="14">
        <f t="shared" si="2"/>
        <v>5850396.0602440368</v>
      </c>
    </row>
    <row r="10" spans="1:9" ht="15.75" customHeight="1" x14ac:dyDescent="0.25">
      <c r="A10" s="7">
        <f t="shared" si="3"/>
        <v>2029</v>
      </c>
      <c r="B10" s="52">
        <v>135511.7036000001</v>
      </c>
      <c r="C10" s="53">
        <v>322000</v>
      </c>
      <c r="D10" s="53">
        <v>625000</v>
      </c>
      <c r="E10" s="53">
        <v>2649000</v>
      </c>
      <c r="F10" s="53">
        <v>2425000</v>
      </c>
      <c r="G10" s="14">
        <f t="shared" si="0"/>
        <v>6021000</v>
      </c>
      <c r="H10" s="14">
        <f t="shared" si="1"/>
        <v>143558.35187946353</v>
      </c>
      <c r="I10" s="14">
        <f t="shared" si="2"/>
        <v>5877441.6481205365</v>
      </c>
    </row>
    <row r="11" spans="1:9" ht="15.75" customHeight="1" x14ac:dyDescent="0.25">
      <c r="A11" s="7">
        <f t="shared" si="3"/>
        <v>2030</v>
      </c>
      <c r="B11" s="52">
        <v>134447.60999999999</v>
      </c>
      <c r="C11" s="53">
        <v>323000</v>
      </c>
      <c r="D11" s="53">
        <v>624000</v>
      </c>
      <c r="E11" s="53">
        <v>2643000</v>
      </c>
      <c r="F11" s="53">
        <v>2461000</v>
      </c>
      <c r="G11" s="14">
        <f t="shared" si="0"/>
        <v>6051000</v>
      </c>
      <c r="H11" s="14">
        <f t="shared" si="1"/>
        <v>142431.07268952427</v>
      </c>
      <c r="I11" s="14">
        <f t="shared" si="2"/>
        <v>5908568.9273104761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uqjUNxNgvXmJdEzUP3pLQ5EWD5fUf1TRbyIQR3ExyCOt2rFAtmnhyliaf871TeUAWKN1jq/BvHUop3VFGUCCfg==" saltValue="6OgW/rXag0P4BGBDLlLaY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+Ab2J5qAbAwL1+vh+G0hUupHnkkSj+C6/kT5HGQ0TuETxKzXQTjUrxATcMiHzlIdyMYqpBOls9mwsnSBP6hF1g==" saltValue="hZRcFQqKv024i7aI5aYV/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6lKBBNtW9lJ/1HWGFSkA/nFYOhwWL51neQo6F9EieDrJdhuXmPrxe1kzKSpeXcU78S7krIgT7M4l8ZFzanNehA==" saltValue="gA9KCwsG6uqCNj+STayV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luw9fF8RO7VkERIfjYUF4fg40UFPx2HoGhtlG7htJaVWrLV2as0gDneZSfDo0L6uN6lvXMipvqFUf690qeOpZQ==" saltValue="M3n9dLBUNXuVelsjWLA2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ZSc3pi5SFIS/Cpd/ttnBAE2rRKua9k9YnJENnaOPYVnxKfqn1Ru1U7wZBiOx91P6GdXZcUhcxvbrpuq/gmBcJQ==" saltValue="DsjuirjA+QHyOOha4Cn8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5nIKwMsoJMHOS9UgUPCck/DKMv5n0yu44Dp0D5HEj4zDDdLxU+bLB30LJXJv2LJ1y2QQwl0b4syOZytRhPW35Q==" saltValue="ICfN8ERPl5yjatCmqE8B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RAbTZUnb9xa4VDWe3vKEX4lez32j97DQ7XjHsMgNqIlFPmn5K1ygFxtwHgjb1udDPu6/uo81yaueL7BZIKF04A==" saltValue="MTiDeF++Jr+DMele/auV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n3J9ZSr+xka5KyhmaUid3gIm2GtF2HP4/fV2PHJSdCLKAa30zQBVIC4GN0A7+IN9blcd7Z/WZZb9uXBo70UtAQ==" saltValue="RKRWIqE/SvWKcSq8Ol1uc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3bYJA0R9NWwYNJEB3BMWojHbWgvaJCONhV0eAeUXOG9G1U2MBdWS/Mufd1EWkZST54ggfJwZKqN51wdaO7R7NQ==" saltValue="SpYCf+8rBk4kN32Ut7ub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e3bjE7u2z9QO3H4FsggofLencMjJ0v9zb7ajv7Sw6v5La5BhqDblfgQ8PJuQLrlqHowRT0l4wDqGAhzlK0aT4Q==" saltValue="by5BisZ5V3wVlT7+BbOxx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0.1181094422949656</v>
      </c>
    </row>
    <row r="5" spans="1:8" ht="15.75" customHeight="1" x14ac:dyDescent="0.25">
      <c r="B5" s="16" t="s">
        <v>80</v>
      </c>
      <c r="C5" s="54">
        <v>4.092669375070615E-2</v>
      </c>
    </row>
    <row r="6" spans="1:8" ht="15.75" customHeight="1" x14ac:dyDescent="0.25">
      <c r="B6" s="16" t="s">
        <v>81</v>
      </c>
      <c r="C6" s="54">
        <v>0.1246720913512278</v>
      </c>
    </row>
    <row r="7" spans="1:8" ht="15.75" customHeight="1" x14ac:dyDescent="0.25">
      <c r="B7" s="16" t="s">
        <v>82</v>
      </c>
      <c r="C7" s="54">
        <v>0.39358253472970761</v>
      </c>
    </row>
    <row r="8" spans="1:8" ht="15.75" customHeight="1" x14ac:dyDescent="0.25">
      <c r="B8" s="16" t="s">
        <v>83</v>
      </c>
      <c r="C8" s="54">
        <v>6.2908432630607329E-3</v>
      </c>
    </row>
    <row r="9" spans="1:8" ht="15.75" customHeight="1" x14ac:dyDescent="0.25">
      <c r="B9" s="16" t="s">
        <v>84</v>
      </c>
      <c r="C9" s="54">
        <v>0.2220567842889403</v>
      </c>
    </row>
    <row r="10" spans="1:8" ht="15.75" customHeight="1" x14ac:dyDescent="0.25">
      <c r="B10" s="16" t="s">
        <v>85</v>
      </c>
      <c r="C10" s="54">
        <v>9.4361610321391579E-2</v>
      </c>
    </row>
    <row r="11" spans="1:8" ht="15.75" customHeight="1" x14ac:dyDescent="0.25">
      <c r="B11" s="24" t="s">
        <v>41</v>
      </c>
      <c r="C11" s="50">
        <f>SUM(C3:C10)</f>
        <v>0.99999999999999967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9.7323735601753988E-2</v>
      </c>
      <c r="D14" s="54">
        <v>9.7323735601753988E-2</v>
      </c>
      <c r="E14" s="54">
        <v>9.7323735601753988E-2</v>
      </c>
      <c r="F14" s="54">
        <v>9.7323735601753988E-2</v>
      </c>
    </row>
    <row r="15" spans="1:8" ht="15.75" customHeight="1" x14ac:dyDescent="0.25">
      <c r="B15" s="16" t="s">
        <v>88</v>
      </c>
      <c r="C15" s="54">
        <v>0.191340948625632</v>
      </c>
      <c r="D15" s="54">
        <v>0.191340948625632</v>
      </c>
      <c r="E15" s="54">
        <v>0.191340948625632</v>
      </c>
      <c r="F15" s="54">
        <v>0.191340948625632</v>
      </c>
    </row>
    <row r="16" spans="1:8" ht="15.75" customHeight="1" x14ac:dyDescent="0.25">
      <c r="B16" s="16" t="s">
        <v>89</v>
      </c>
      <c r="C16" s="54">
        <v>2.431395021563313E-2</v>
      </c>
      <c r="D16" s="54">
        <v>2.431395021563313E-2</v>
      </c>
      <c r="E16" s="54">
        <v>2.431395021563313E-2</v>
      </c>
      <c r="F16" s="54">
        <v>2.431395021563313E-2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6.8989190033509368E-2</v>
      </c>
      <c r="D19" s="54">
        <v>6.8989190033509368E-2</v>
      </c>
      <c r="E19" s="54">
        <v>6.8989190033509368E-2</v>
      </c>
      <c r="F19" s="54">
        <v>6.8989190033509368E-2</v>
      </c>
    </row>
    <row r="20" spans="1:8" ht="15.75" customHeight="1" x14ac:dyDescent="0.25">
      <c r="B20" s="16" t="s">
        <v>93</v>
      </c>
      <c r="C20" s="54">
        <v>1.667249438758522E-2</v>
      </c>
      <c r="D20" s="54">
        <v>1.667249438758522E-2</v>
      </c>
      <c r="E20" s="54">
        <v>1.667249438758522E-2</v>
      </c>
      <c r="F20" s="54">
        <v>1.667249438758522E-2</v>
      </c>
    </row>
    <row r="21" spans="1:8" ht="15.75" customHeight="1" x14ac:dyDescent="0.25">
      <c r="B21" s="16" t="s">
        <v>94</v>
      </c>
      <c r="C21" s="54">
        <v>0.12791043438514821</v>
      </c>
      <c r="D21" s="54">
        <v>0.12791043438514821</v>
      </c>
      <c r="E21" s="54">
        <v>0.12791043438514821</v>
      </c>
      <c r="F21" s="54">
        <v>0.12791043438514821</v>
      </c>
    </row>
    <row r="22" spans="1:8" ht="15.75" customHeight="1" x14ac:dyDescent="0.25">
      <c r="B22" s="16" t="s">
        <v>95</v>
      </c>
      <c r="C22" s="54">
        <v>0.47344924675073807</v>
      </c>
      <c r="D22" s="54">
        <v>0.47344924675073807</v>
      </c>
      <c r="E22" s="54">
        <v>0.47344924675073807</v>
      </c>
      <c r="F22" s="54">
        <v>0.47344924675073807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2.81E-2</v>
      </c>
    </row>
    <row r="27" spans="1:8" ht="15.75" customHeight="1" x14ac:dyDescent="0.25">
      <c r="B27" s="16" t="s">
        <v>102</v>
      </c>
      <c r="C27" s="54">
        <v>2.29E-2</v>
      </c>
    </row>
    <row r="28" spans="1:8" ht="15.75" customHeight="1" x14ac:dyDescent="0.25">
      <c r="B28" s="16" t="s">
        <v>103</v>
      </c>
      <c r="C28" s="54">
        <v>0.1724</v>
      </c>
    </row>
    <row r="29" spans="1:8" ht="15.75" customHeight="1" x14ac:dyDescent="0.25">
      <c r="B29" s="16" t="s">
        <v>104</v>
      </c>
      <c r="C29" s="54">
        <v>0.18540000000000001</v>
      </c>
    </row>
    <row r="30" spans="1:8" ht="15.75" customHeight="1" x14ac:dyDescent="0.25">
      <c r="B30" s="16" t="s">
        <v>2</v>
      </c>
      <c r="C30" s="54">
        <v>0.10639999999999999</v>
      </c>
    </row>
    <row r="31" spans="1:8" ht="15.75" customHeight="1" x14ac:dyDescent="0.25">
      <c r="B31" s="16" t="s">
        <v>105</v>
      </c>
      <c r="C31" s="54">
        <v>0.22570000000000001</v>
      </c>
    </row>
    <row r="32" spans="1:8" ht="15.75" customHeight="1" x14ac:dyDescent="0.25">
      <c r="B32" s="16" t="s">
        <v>106</v>
      </c>
      <c r="C32" s="54">
        <v>2.58E-2</v>
      </c>
    </row>
    <row r="33" spans="2:3" ht="15.75" customHeight="1" x14ac:dyDescent="0.25">
      <c r="B33" s="16" t="s">
        <v>107</v>
      </c>
      <c r="C33" s="54">
        <v>9.9399999999999988E-2</v>
      </c>
    </row>
    <row r="34" spans="2:3" ht="15.75" customHeight="1" x14ac:dyDescent="0.25">
      <c r="B34" s="16" t="s">
        <v>108</v>
      </c>
      <c r="C34" s="54">
        <v>0.1339000000022352</v>
      </c>
    </row>
    <row r="35" spans="2:3" ht="15.75" customHeight="1" x14ac:dyDescent="0.25">
      <c r="B35" s="24" t="s">
        <v>41</v>
      </c>
      <c r="C35" s="50">
        <f>SUM(C26:C34)</f>
        <v>1.0000000000022353</v>
      </c>
    </row>
  </sheetData>
  <sheetProtection algorithmName="SHA-512" hashValue="62Lpmkbe+pCwjE1zEBd3z3AUeQqM02XtrMln3JVyWTmH4t5i2Tgr61Z8V87U89HNwDl9YE0hJqMTZtD9NBDZ0A==" saltValue="D0tPJAtx0u9P3wiCTDNa/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0.76460945606231701</v>
      </c>
      <c r="D2" s="55">
        <v>0.76460945606231701</v>
      </c>
      <c r="E2" s="55">
        <v>0.75673687458038297</v>
      </c>
      <c r="F2" s="55">
        <v>0.69884473085403398</v>
      </c>
      <c r="G2" s="55">
        <v>0.74896526336669889</v>
      </c>
    </row>
    <row r="3" spans="1:15" ht="15.75" customHeight="1" x14ac:dyDescent="0.25">
      <c r="B3" s="7" t="s">
        <v>113</v>
      </c>
      <c r="C3" s="55">
        <v>0.162400603294373</v>
      </c>
      <c r="D3" s="55">
        <v>0.162400603294373</v>
      </c>
      <c r="E3" s="55">
        <v>0.196381285786629</v>
      </c>
      <c r="F3" s="55">
        <v>0.224514409899712</v>
      </c>
      <c r="G3" s="55">
        <v>0.20374839007854501</v>
      </c>
    </row>
    <row r="4" spans="1:15" ht="15.75" customHeight="1" x14ac:dyDescent="0.25">
      <c r="B4" s="7" t="s">
        <v>114</v>
      </c>
      <c r="C4" s="56">
        <v>3.4071046859025997E-2</v>
      </c>
      <c r="D4" s="56">
        <v>3.4071046859025997E-2</v>
      </c>
      <c r="E4" s="56">
        <v>3.6088269203901298E-2</v>
      </c>
      <c r="F4" s="56">
        <v>6.3694916665554005E-2</v>
      </c>
      <c r="G4" s="56">
        <v>3.8373056799173397E-2</v>
      </c>
    </row>
    <row r="5" spans="1:15" ht="15.75" customHeight="1" x14ac:dyDescent="0.25">
      <c r="B5" s="7" t="s">
        <v>115</v>
      </c>
      <c r="C5" s="56">
        <v>3.8918882608413703E-2</v>
      </c>
      <c r="D5" s="56">
        <v>3.8918882608413703E-2</v>
      </c>
      <c r="E5" s="56">
        <v>1.07935527339578E-2</v>
      </c>
      <c r="F5" s="56">
        <v>1.2945924885570999E-2</v>
      </c>
      <c r="G5" s="56">
        <v>8.9132580906153003E-3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0.84784299135208097</v>
      </c>
      <c r="D8" s="55">
        <v>0.84784299135208097</v>
      </c>
      <c r="E8" s="55">
        <v>0.93289506435394298</v>
      </c>
      <c r="F8" s="55">
        <v>0.95607793331146196</v>
      </c>
      <c r="G8" s="55">
        <v>0.95962834358215299</v>
      </c>
    </row>
    <row r="9" spans="1:15" ht="15.75" customHeight="1" x14ac:dyDescent="0.25">
      <c r="B9" s="7" t="s">
        <v>118</v>
      </c>
      <c r="C9" s="55">
        <v>0.102284803986549</v>
      </c>
      <c r="D9" s="55">
        <v>0.102284803986549</v>
      </c>
      <c r="E9" s="55">
        <v>6.4816452562809004E-2</v>
      </c>
      <c r="F9" s="55">
        <v>3.6401174962520599E-2</v>
      </c>
      <c r="G9" s="55">
        <v>3.50752286612988E-2</v>
      </c>
    </row>
    <row r="10" spans="1:15" ht="15.75" customHeight="1" x14ac:dyDescent="0.25">
      <c r="B10" s="7" t="s">
        <v>119</v>
      </c>
      <c r="C10" s="56">
        <v>2.6520758867263801E-2</v>
      </c>
      <c r="D10" s="56">
        <v>2.6520758867263801E-2</v>
      </c>
      <c r="E10" s="56">
        <v>2.2884584031998998E-3</v>
      </c>
      <c r="F10" s="56">
        <v>5.0772232934832998E-3</v>
      </c>
      <c r="G10" s="56">
        <v>3.7767339963465998E-3</v>
      </c>
    </row>
    <row r="11" spans="1:15" ht="15.75" customHeight="1" x14ac:dyDescent="0.25">
      <c r="B11" s="7" t="s">
        <v>120</v>
      </c>
      <c r="C11" s="56">
        <v>2.3351423442363701E-2</v>
      </c>
      <c r="D11" s="56">
        <v>2.3351423442363701E-2</v>
      </c>
      <c r="E11" s="56">
        <v>0</v>
      </c>
      <c r="F11" s="56">
        <v>2.4436712265015E-3</v>
      </c>
      <c r="G11" s="56">
        <v>1.51970051229E-3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0.33770807775</v>
      </c>
      <c r="D14" s="57">
        <v>0.33097332158499992</v>
      </c>
      <c r="E14" s="57">
        <v>0.33097332158499992</v>
      </c>
      <c r="F14" s="57">
        <v>0.254121780247</v>
      </c>
      <c r="G14" s="57">
        <v>0.254121780247</v>
      </c>
      <c r="H14" s="58">
        <v>0.32700000000000001</v>
      </c>
      <c r="I14" s="58">
        <v>0.32700000000000001</v>
      </c>
      <c r="J14" s="58">
        <v>0.32700000000000001</v>
      </c>
      <c r="K14" s="58">
        <v>0.32700000000000001</v>
      </c>
      <c r="L14" s="58">
        <v>0.321919837002</v>
      </c>
      <c r="M14" s="58">
        <v>0.259959126298</v>
      </c>
      <c r="N14" s="58">
        <v>0.3030596436895</v>
      </c>
      <c r="O14" s="58">
        <v>0.30567124316599997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0.18463068626066234</v>
      </c>
      <c r="D15" s="55">
        <f t="shared" si="0"/>
        <v>0.18094868178855525</v>
      </c>
      <c r="E15" s="55">
        <f t="shared" si="0"/>
        <v>0.18094868178855525</v>
      </c>
      <c r="F15" s="55">
        <f t="shared" si="0"/>
        <v>0.13893265151779402</v>
      </c>
      <c r="G15" s="55">
        <f t="shared" si="0"/>
        <v>0.13893265151779402</v>
      </c>
      <c r="H15" s="55">
        <f t="shared" si="0"/>
        <v>0.178776400047886</v>
      </c>
      <c r="I15" s="55">
        <f t="shared" si="0"/>
        <v>0.178776400047886</v>
      </c>
      <c r="J15" s="55">
        <f t="shared" si="0"/>
        <v>0.178776400047886</v>
      </c>
      <c r="K15" s="55">
        <f t="shared" si="0"/>
        <v>0.178776400047886</v>
      </c>
      <c r="L15" s="55">
        <f t="shared" si="0"/>
        <v>0.17599898948996881</v>
      </c>
      <c r="M15" s="55">
        <f t="shared" si="0"/>
        <v>0.14212402678639194</v>
      </c>
      <c r="N15" s="55">
        <f t="shared" si="0"/>
        <v>0.16568780458288634</v>
      </c>
      <c r="O15" s="55">
        <f t="shared" si="0"/>
        <v>0.16711560994305641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yVEYn+J6a2KERobG01tJwMTBmEvLEO+hRP2JRh1wk+EIdh4XGhqvPd6N63yxoq9IERDO0ltPVIJR5Cz+Efj2mg==" saltValue="akoiH8dY0hml09iHom/i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0.6431854963302609</v>
      </c>
      <c r="D2" s="56">
        <v>0.30086489999999999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0.19384044408798201</v>
      </c>
      <c r="D3" s="56">
        <v>0.2158948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0.147234946489334</v>
      </c>
      <c r="D4" s="56">
        <v>0.39192640000000001</v>
      </c>
      <c r="E4" s="56">
        <v>0.77740085124969494</v>
      </c>
      <c r="F4" s="56">
        <v>0.32832834124565102</v>
      </c>
      <c r="G4" s="56">
        <v>0</v>
      </c>
    </row>
    <row r="5" spans="1:7" x14ac:dyDescent="0.25">
      <c r="B5" s="98" t="s">
        <v>132</v>
      </c>
      <c r="C5" s="55">
        <v>1.5739113092423099E-2</v>
      </c>
      <c r="D5" s="55">
        <v>9.1313900000000101E-2</v>
      </c>
      <c r="E5" s="55">
        <v>0.22259914875030501</v>
      </c>
      <c r="F5" s="55">
        <v>0.67167165875434909</v>
      </c>
      <c r="G5" s="55">
        <v>1</v>
      </c>
    </row>
  </sheetData>
  <sheetProtection algorithmName="SHA-512" hashValue="G4ZpFq1mCc7RkLmTQUf66WPjuRQXJdfCcUwQ7xDTVh/GNUroz7LGl1DV/MRgvbHwC+1OUAGv9bkBgAiz5JKjWQ==" saltValue="+qhyH4KUxULNUyCn5ob/C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fIx6UIowwqzrwzqXLNe+6ucmQIrMqv3pI0zYZ5rYJ4ys1NxRU5nTB3EvVAR7iwzVIiCPOWV8X1I/uKwU0AYksQ==" saltValue="jds5rerz4rEz+n22NPbjS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qQw+a7Jpxg+O9mrz3wEKMinZFP+g6fRSemvwi/fL1ejdY3A6WqEIbUNSwd7LzTudgKd52/UO4SN26Ji6qIPSsw==" saltValue="wrOsebl8akVEuZSNq8u6/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PkodgyGnQ6Vn+SnJuu8ggVL3WGKDpup/ZWpXF1FP1uSMAi8mXonCkE0z9StV+BkcPPcPPr9UX9qBWoAYZF5heg==" saltValue="Ss1yLHeI7un4SmU7cVZwx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q1qG/lbb5970RQVl3iznTSdMw33sPYQxiYUMhfK8taKpIR2b4f7SIe6cPIqZ78Zbzf2Uo5l29mE5jC0xag1vOA==" saltValue="+Ukfh8C/ycTnlN4TLyWWJ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2022-02-01T04:39:10Z</dcterms:modified>
</cp:coreProperties>
</file>