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B4D8158-FD1A-43FC-8963-6D112E8CFCC4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A27" i="2"/>
  <c r="A24" i="2"/>
  <c r="A23" i="2"/>
  <c r="A19" i="2"/>
  <c r="A16" i="2"/>
  <c r="H11" i="2"/>
  <c r="I11" i="2" s="1"/>
  <c r="G11" i="2"/>
  <c r="I10" i="2"/>
  <c r="H10" i="2"/>
  <c r="G10" i="2"/>
  <c r="I9" i="2"/>
  <c r="H9" i="2"/>
  <c r="G9" i="2"/>
  <c r="H8" i="2"/>
  <c r="I8" i="2" s="1"/>
  <c r="G8" i="2"/>
  <c r="H7" i="2"/>
  <c r="I7" i="2" s="1"/>
  <c r="G7" i="2"/>
  <c r="I6" i="2"/>
  <c r="H6" i="2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C33" i="1"/>
  <c r="C20" i="1"/>
  <c r="A31" i="2" l="1"/>
  <c r="A35" i="2"/>
  <c r="A15" i="2"/>
  <c r="I38" i="2"/>
  <c r="A17" i="2"/>
  <c r="A32" i="2"/>
  <c r="A25" i="2"/>
  <c r="A33" i="2"/>
  <c r="A18" i="2"/>
  <c r="A26" i="2"/>
  <c r="A34" i="2"/>
  <c r="A39" i="2"/>
  <c r="A4" i="2"/>
  <c r="A5" i="2" s="1"/>
  <c r="A12" i="2"/>
  <c r="A36" i="2"/>
  <c r="A6" i="2"/>
  <c r="A7" i="2" s="1"/>
  <c r="A8" i="2" s="1"/>
  <c r="A9" i="2" s="1"/>
  <c r="A10" i="2" s="1"/>
  <c r="A11" i="2" s="1"/>
  <c r="A20" i="2"/>
  <c r="A28" i="2"/>
  <c r="A21" i="2"/>
  <c r="A13" i="2"/>
  <c r="A29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<sst xmlns="http://schemas.openxmlformats.org/spreadsheetml/2006/main" count="2092" uniqueCount="337">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</sst>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1383242.140625</v>
      </c>
    </row>
    <row r="8" spans="1:3" ht="15" customHeight="1" x14ac:dyDescent="0.25">
      <c r="B8" s="7" t="s">
        <v>19</v>
      </c>
      <c r="C8" s="46">
        <v>0.29499999999999998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0.78182266235351605</v>
      </c>
    </row>
    <row r="11" spans="1:3" ht="15" customHeight="1" x14ac:dyDescent="0.25">
      <c r="B11" s="7" t="s">
        <v>22</v>
      </c>
      <c r="C11" s="46">
        <v>0.52500000000000002</v>
      </c>
    </row>
    <row r="12" spans="1:3" ht="15" customHeight="1" x14ac:dyDescent="0.25">
      <c r="B12" s="7" t="s">
        <v>23</v>
      </c>
      <c r="C12" s="46">
        <v>0.63</v>
      </c>
    </row>
    <row r="13" spans="1:3" ht="15" customHeight="1" x14ac:dyDescent="0.25">
      <c r="B13" s="7" t="s">
        <v>24</v>
      </c>
      <c r="C13" s="46">
        <v>0.49199999999999999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8.7300000000000003E-2</v>
      </c>
    </row>
    <row r="24" spans="1:3" ht="15" customHeight="1" x14ac:dyDescent="0.25">
      <c r="B24" s="12" t="s">
        <v>33</v>
      </c>
      <c r="C24" s="47">
        <v>0.59660000000000002</v>
      </c>
    </row>
    <row r="25" spans="1:3" ht="15" customHeight="1" x14ac:dyDescent="0.25">
      <c r="B25" s="12" t="s">
        <v>34</v>
      </c>
      <c r="C25" s="47">
        <v>0.28710000000000002</v>
      </c>
    </row>
    <row r="26" spans="1:3" ht="15" customHeight="1" x14ac:dyDescent="0.25">
      <c r="B26" s="12" t="s">
        <v>35</v>
      </c>
      <c r="C26" s="47">
        <v>2.9000000000000001E-2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0.29199999999999998</v>
      </c>
    </row>
    <row r="30" spans="1:3" ht="14.25" customHeight="1" x14ac:dyDescent="0.25">
      <c r="B30" s="22" t="s">
        <v>38</v>
      </c>
      <c r="C30" s="49">
        <v>5.8000000000000003E-2</v>
      </c>
    </row>
    <row r="31" spans="1:3" ht="14.25" customHeight="1" x14ac:dyDescent="0.25">
      <c r="B31" s="22" t="s">
        <v>39</v>
      </c>
      <c r="C31" s="49">
        <v>0.12</v>
      </c>
    </row>
    <row r="32" spans="1:3" ht="14.25" customHeight="1" x14ac:dyDescent="0.25">
      <c r="B32" s="22" t="s">
        <v>40</v>
      </c>
      <c r="C32" s="49">
        <v>0.53</v>
      </c>
    </row>
    <row r="33" spans="1:5" ht="13.2" customHeight="1" x14ac:dyDescent="0.25">
      <c r="B33" s="24" t="s">
        <v>41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14.9776786571542</v>
      </c>
    </row>
    <row r="38" spans="1:5" ht="15" customHeight="1" x14ac:dyDescent="0.25">
      <c r="B38" s="28" t="s">
        <v>45</v>
      </c>
      <c r="C38" s="117">
        <v>29.595545480470999</v>
      </c>
      <c r="D38" s="9"/>
      <c r="E38" s="10"/>
    </row>
    <row r="39" spans="1:5" ht="15" customHeight="1" x14ac:dyDescent="0.25">
      <c r="B39" s="28" t="s">
        <v>46</v>
      </c>
      <c r="C39" s="117">
        <v>33.775817766857301</v>
      </c>
      <c r="D39" s="9"/>
      <c r="E39" s="9"/>
    </row>
    <row r="40" spans="1:5" ht="15" customHeight="1" x14ac:dyDescent="0.25">
      <c r="B40" s="28" t="s">
        <v>47</v>
      </c>
      <c r="C40" s="117">
        <v>17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9.0190807839999998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2.3805799999999998E-2</v>
      </c>
      <c r="D45" s="9"/>
    </row>
    <row r="46" spans="1:5" ht="15.75" customHeight="1" x14ac:dyDescent="0.25">
      <c r="B46" s="28" t="s">
        <v>52</v>
      </c>
      <c r="C46" s="47">
        <v>8.3174700000000004E-2</v>
      </c>
      <c r="D46" s="9"/>
    </row>
    <row r="47" spans="1:5" ht="15.75" customHeight="1" x14ac:dyDescent="0.25">
      <c r="B47" s="28" t="s">
        <v>53</v>
      </c>
      <c r="C47" s="47">
        <v>0.1465214</v>
      </c>
      <c r="D47" s="9"/>
      <c r="E47" s="10"/>
    </row>
    <row r="48" spans="1:5" ht="15" customHeight="1" x14ac:dyDescent="0.25">
      <c r="B48" s="28" t="s">
        <v>54</v>
      </c>
      <c r="C48" s="48">
        <v>0.74649810000000005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2.8</v>
      </c>
      <c r="D51" s="9"/>
    </row>
    <row r="52" spans="1:4" ht="15" customHeight="1" x14ac:dyDescent="0.25">
      <c r="B52" s="28" t="s">
        <v>57</v>
      </c>
      <c r="C52" s="51">
        <v>2.8</v>
      </c>
    </row>
    <row r="53" spans="1:4" ht="15.75" customHeight="1" x14ac:dyDescent="0.25">
      <c r="B53" s="28" t="s">
        <v>58</v>
      </c>
      <c r="C53" s="51">
        <v>2.8</v>
      </c>
    </row>
    <row r="54" spans="1:4" ht="15.75" customHeight="1" x14ac:dyDescent="0.25">
      <c r="B54" s="28" t="s">
        <v>59</v>
      </c>
      <c r="C54" s="51">
        <v>2.8</v>
      </c>
    </row>
    <row r="55" spans="1:4" ht="15.75" customHeight="1" x14ac:dyDescent="0.25">
      <c r="B55" s="28" t="s">
        <v>60</v>
      </c>
      <c r="C55" s="51">
        <v>2.8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1.6202203499675959E-2</v>
      </c>
    </row>
    <row r="59" spans="1:4" ht="15.75" customHeight="1" x14ac:dyDescent="0.25">
      <c r="B59" s="28" t="s">
        <v>63</v>
      </c>
      <c r="C59" s="46">
        <v>0.54368200655759469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5.6252947000000004</v>
      </c>
    </row>
    <row r="63" spans="1:4" ht="15.75" customHeight="1" x14ac:dyDescent="0.25">
      <c r="A63" s="39"/>
    </row>
  </sheetData>
  <sheetProtection algorithmName="SHA-512" hashValue="YIkr6SHG1TWnYLloc1xss1dbghjUFzBD6fB+O/Cwq5WGQ+3i0635OopYzSljoFfBVWgz20YoYR5Bm2JJp9EkXw==" saltValue="PadosT2qOFBD5kQz6lvl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0.155221805694397</v>
      </c>
      <c r="C2" s="115">
        <v>0.95</v>
      </c>
      <c r="D2" s="116">
        <v>36.673102552348467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44.676188346342542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79.584386436751942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2.2502589665866322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14.201250215462901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14.201250215462901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14.201250215462901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14.201250215462901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14.201250215462901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14.201250215462901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0.25753549775160939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0.22507530000000001</v>
      </c>
      <c r="C18" s="115">
        <v>0.95</v>
      </c>
      <c r="D18" s="116">
        <v>1.935478791236098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0.22507530000000001</v>
      </c>
      <c r="C19" s="115">
        <v>0.95</v>
      </c>
      <c r="D19" s="116">
        <v>1.935478791236098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0.88158860000000006</v>
      </c>
      <c r="C21" s="115">
        <v>0.95</v>
      </c>
      <c r="D21" s="116">
        <v>21.219202862704289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24.214287028601191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4.6661477823845638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0.65971046931085997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2.19022E-2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20.50942560811496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0.19674449999999999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0.4</v>
      </c>
      <c r="C29" s="115">
        <v>0.95</v>
      </c>
      <c r="D29" s="116">
        <v>64.905462330614313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1.9667472266035491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0.49558496612235631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0.52023419999999998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1.9676510000000001E-2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0.64306739752861608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0.72703504543367004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3.0501808176615341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0.97023062222068901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T2h6in36r+r7scL8LARFujKik8Sziotk7vS+ICglDBZuf9bFcbNaCMpNnpCViB7p20REHI5ABeHD84607iESLw==" saltValue="0c8szD21MEpbtJ0TN4UWy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hlPdz/2twEew2wqEvYTfZEsrOoQ5sEaeEwgxMHrQ5YrwZ55K05XoVYd8eZfLQkUy2AcGngp1UO7bzNUhAqnXxg==" saltValue="gNv7URXsChvmqfndl67PU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QNImr5ADOVuie13ocxTNTwNp9CinqFg5PGVStJUvBSao63/l/+FGrN3pq1UDjZEiM6DLbt1CjAXrbuBGzh2WuA==" saltValue="QbL/aGs39HnnVg3Vh0NO3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5">
      <c r="A3" s="4" t="s">
        <v>209</v>
      </c>
      <c r="B3" s="18">
        <f>frac_mam_1month * 2.6</f>
        <v>0.20904423594474783</v>
      </c>
      <c r="C3" s="18">
        <f>frac_mam_1_5months * 2.6</f>
        <v>0.20904423594474783</v>
      </c>
      <c r="D3" s="18">
        <f>frac_mam_6_11months * 2.6</f>
        <v>0.17423148304224026</v>
      </c>
      <c r="E3" s="18">
        <f>frac_mam_12_23months * 2.6</f>
        <v>0.12817232906818393</v>
      </c>
      <c r="F3" s="18">
        <f>frac_mam_24_59months * 2.6</f>
        <v>5.2471835538744967E-2</v>
      </c>
    </row>
    <row r="4" spans="1:6" ht="15.75" customHeight="1" x14ac:dyDescent="0.25">
      <c r="A4" s="4" t="s">
        <v>208</v>
      </c>
      <c r="B4" s="18">
        <f>frac_sam_1month * 2.6</f>
        <v>0.14692764058709151</v>
      </c>
      <c r="C4" s="18">
        <f>frac_sam_1_5months * 2.6</f>
        <v>0.14692764058709151</v>
      </c>
      <c r="D4" s="18">
        <f>frac_sam_6_11months * 2.6</f>
        <v>8.2562429457902944E-2</v>
      </c>
      <c r="E4" s="18">
        <f>frac_sam_12_23months * 2.6</f>
        <v>5.3229949250817303E-2</v>
      </c>
      <c r="F4" s="18">
        <f>frac_sam_24_59months * 2.6</f>
        <v>2.2506040148437042E-2</v>
      </c>
    </row>
  </sheetData>
  <sheetProtection algorithmName="SHA-512" hashValue="4iJQeUeA5f0KacMrLyZxsE0Qx9wo0NWyvnBSWC16jSnA6lF912wDUTzOEXG2P9GrNuBrwvHo0BUt/YC+qjx0dQ==" saltValue="WQuKgF+ox24Cvi1KZWFk/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0.29499999999999998</v>
      </c>
      <c r="E2" s="65">
        <f>food_insecure</f>
        <v>0.29499999999999998</v>
      </c>
      <c r="F2" s="65">
        <f>food_insecure</f>
        <v>0.29499999999999998</v>
      </c>
      <c r="G2" s="65">
        <f>food_insecure</f>
        <v>0.29499999999999998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0.29499999999999998</v>
      </c>
      <c r="F5" s="65">
        <f>food_insecure</f>
        <v>0.29499999999999998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0.29499999999999998</v>
      </c>
      <c r="F8" s="65">
        <f>food_insecure</f>
        <v>0.29499999999999998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0.29499999999999998</v>
      </c>
      <c r="F9" s="65">
        <f>food_insecure</f>
        <v>0.29499999999999998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0.63</v>
      </c>
      <c r="E10" s="65">
        <f>IF(ISBLANK(comm_deliv), frac_children_health_facility,1)</f>
        <v>0.63</v>
      </c>
      <c r="F10" s="65">
        <f>IF(ISBLANK(comm_deliv), frac_children_health_facility,1)</f>
        <v>0.63</v>
      </c>
      <c r="G10" s="65">
        <f>IF(ISBLANK(comm_deliv), frac_children_health_facility,1)</f>
        <v>0.63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0.29499999999999998</v>
      </c>
      <c r="I15" s="65">
        <f>food_insecure</f>
        <v>0.29499999999999998</v>
      </c>
      <c r="J15" s="65">
        <f>food_insecure</f>
        <v>0.29499999999999998</v>
      </c>
      <c r="K15" s="65">
        <f>food_insecure</f>
        <v>0.29499999999999998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0.52500000000000002</v>
      </c>
      <c r="I18" s="65">
        <f>frac_PW_health_facility</f>
        <v>0.52500000000000002</v>
      </c>
      <c r="J18" s="65">
        <f>frac_PW_health_facility</f>
        <v>0.52500000000000002</v>
      </c>
      <c r="K18" s="65">
        <f>frac_PW_health_facility</f>
        <v>0.52500000000000002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0.49199999999999999</v>
      </c>
      <c r="M24" s="65">
        <f>famplan_unmet_need</f>
        <v>0.49199999999999999</v>
      </c>
      <c r="N24" s="65">
        <f>famplan_unmet_need</f>
        <v>0.49199999999999999</v>
      </c>
      <c r="O24" s="65">
        <f>famplan_unmet_need</f>
        <v>0.49199999999999999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0.12042298151397682</v>
      </c>
      <c r="M25" s="65">
        <f>(1-food_insecure)*(0.49)+food_insecure*(0.7)</f>
        <v>0.55195000000000005</v>
      </c>
      <c r="N25" s="65">
        <f>(1-food_insecure)*(0.49)+food_insecure*(0.7)</f>
        <v>0.55195000000000005</v>
      </c>
      <c r="O25" s="65">
        <f>(1-food_insecure)*(0.49)+food_insecure*(0.7)</f>
        <v>0.55195000000000005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5.1609849220275783E-2</v>
      </c>
      <c r="M26" s="65">
        <f>(1-food_insecure)*(0.21)+food_insecure*(0.3)</f>
        <v>0.23655000000000001</v>
      </c>
      <c r="N26" s="65">
        <f>(1-food_insecure)*(0.21)+food_insecure*(0.3)</f>
        <v>0.23655000000000001</v>
      </c>
      <c r="O26" s="65">
        <f>(1-food_insecure)*(0.21)+food_insecure*(0.3)</f>
        <v>0.23655000000000001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4.6144506912231362E-2</v>
      </c>
      <c r="M27" s="65">
        <f>(1-food_insecure)*(0.3)</f>
        <v>0.21150000000000002</v>
      </c>
      <c r="N27" s="65">
        <f>(1-food_insecure)*(0.3)</f>
        <v>0.21150000000000002</v>
      </c>
      <c r="O27" s="65">
        <f>(1-food_insecure)*(0.3)</f>
        <v>0.21150000000000002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0.78182266235351605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jbHDqjJv0oapcW+SURktjc4oxmFo50RTSfQ4G7QJI5f1dbxMPg/11kRM3sGXGqkePUrhhlx8uI01e0bDaHnzLw==" saltValue="6Dd7UPqeoW95Uflo36NX1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ZjZoQlNIg4PIdVGJyfEncUmikwcig1CeMe8tU9G6BAp0/ivABbijZmKoBzBBqYgPEGkuhT8wQN4uDZWtuXPeBQ==" saltValue="O8MsqsRMiVpqpMl7AUpcv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JOOxXyPW9Coqg6k8sM7QdkJatFw/q++bgr8u9s5lcJPfZcbL5RZDCR01g076JRe3r3R0V+U4D9sDQg5ctAob7w==" saltValue="TzJf9F72sOo21eqhVAU/0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B2xCit1y2YyKiyeuw2htmbV24Y8Yk4ZXOoleoCdXQAG+61T/+GE/zo45fOZBqoIjIfvjmY5K4FLDp786lU+XGA==" saltValue="IF666k+iZgSSkDccJLz48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jXS2Y0JAqXI2xeamKZ83d4z5NknCZk7BrjqMW0/S9mKyemLW6+A0ntVRPin8PT0kZikEO83KERl2e8CQJ0VvVA==" saltValue="ThfW7KQkUNZXuw2wsJ6Kd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c1eBl4L/k18aWvftVO3JGl6X3IMuJP0BYCORmnmmvGZ8re4QvnCL2nez8m5dXUDpydKXwSe5ggFJenyHqGSOLQ==" saltValue="6FxQtNZJF4nk2MCqPdxrx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249480.8694</v>
      </c>
      <c r="C2" s="53">
        <v>412000</v>
      </c>
      <c r="D2" s="53">
        <v>819000</v>
      </c>
      <c r="E2" s="53">
        <v>3869000</v>
      </c>
      <c r="F2" s="53">
        <v>2592000</v>
      </c>
      <c r="G2" s="14">
        <f t="shared" ref="G2:G11" si="0">C2+D2+E2+F2</f>
        <v>7692000</v>
      </c>
      <c r="H2" s="14">
        <f t="shared" ref="H2:H11" si="1">(B2 + stillbirth*B2/(1000-stillbirth))/(1-abortion)</f>
        <v>263890.39406521467</v>
      </c>
      <c r="I2" s="14">
        <f t="shared" ref="I2:I11" si="2">G2-H2</f>
        <v>7428109.6059347857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248372.77040000001</v>
      </c>
      <c r="C3" s="53">
        <v>425000</v>
      </c>
      <c r="D3" s="53">
        <v>813000</v>
      </c>
      <c r="E3" s="53">
        <v>3990000</v>
      </c>
      <c r="F3" s="53">
        <v>2701000</v>
      </c>
      <c r="G3" s="14">
        <f t="shared" si="0"/>
        <v>7929000</v>
      </c>
      <c r="H3" s="14">
        <f t="shared" si="1"/>
        <v>262718.29344492848</v>
      </c>
      <c r="I3" s="14">
        <f t="shared" si="2"/>
        <v>7666281.7065550713</v>
      </c>
    </row>
    <row r="4" spans="1:9" ht="15.75" customHeight="1" x14ac:dyDescent="0.25">
      <c r="A4" s="7">
        <f t="shared" si="3"/>
        <v>2023</v>
      </c>
      <c r="B4" s="52">
        <v>247006.6918</v>
      </c>
      <c r="C4" s="53">
        <v>441000</v>
      </c>
      <c r="D4" s="53">
        <v>807000</v>
      </c>
      <c r="E4" s="53">
        <v>4113000</v>
      </c>
      <c r="F4" s="53">
        <v>2812000</v>
      </c>
      <c r="G4" s="14">
        <f t="shared" si="0"/>
        <v>8173000</v>
      </c>
      <c r="H4" s="14">
        <f t="shared" si="1"/>
        <v>261273.31283000179</v>
      </c>
      <c r="I4" s="14">
        <f t="shared" si="2"/>
        <v>7911726.687169998</v>
      </c>
    </row>
    <row r="5" spans="1:9" ht="15.75" customHeight="1" x14ac:dyDescent="0.25">
      <c r="A5" s="7">
        <f t="shared" si="3"/>
        <v>2024</v>
      </c>
      <c r="B5" s="52">
        <v>245386.13040000011</v>
      </c>
      <c r="C5" s="53">
        <v>459000</v>
      </c>
      <c r="D5" s="53">
        <v>803000</v>
      </c>
      <c r="E5" s="53">
        <v>4235000</v>
      </c>
      <c r="F5" s="53">
        <v>2923000</v>
      </c>
      <c r="G5" s="14">
        <f t="shared" si="0"/>
        <v>8420000</v>
      </c>
      <c r="H5" s="14">
        <f t="shared" si="1"/>
        <v>259559.15098872979</v>
      </c>
      <c r="I5" s="14">
        <f t="shared" si="2"/>
        <v>8160440.8490112703</v>
      </c>
    </row>
    <row r="6" spans="1:9" ht="15.75" customHeight="1" x14ac:dyDescent="0.25">
      <c r="A6" s="7">
        <f t="shared" si="3"/>
        <v>2025</v>
      </c>
      <c r="B6" s="52">
        <v>243491.08</v>
      </c>
      <c r="C6" s="53">
        <v>477000</v>
      </c>
      <c r="D6" s="53">
        <v>802000</v>
      </c>
      <c r="E6" s="53">
        <v>4357000</v>
      </c>
      <c r="F6" s="53">
        <v>3034000</v>
      </c>
      <c r="G6" s="14">
        <f t="shared" si="0"/>
        <v>8670000</v>
      </c>
      <c r="H6" s="14">
        <f t="shared" si="1"/>
        <v>257554.64620232198</v>
      </c>
      <c r="I6" s="14">
        <f t="shared" si="2"/>
        <v>8412445.3537976779</v>
      </c>
    </row>
    <row r="7" spans="1:9" ht="15.75" customHeight="1" x14ac:dyDescent="0.25">
      <c r="A7" s="7">
        <f t="shared" si="3"/>
        <v>2026</v>
      </c>
      <c r="B7" s="52">
        <v>243655.77600000001</v>
      </c>
      <c r="C7" s="53">
        <v>494000</v>
      </c>
      <c r="D7" s="53">
        <v>805000</v>
      </c>
      <c r="E7" s="53">
        <v>4477000</v>
      </c>
      <c r="F7" s="53">
        <v>3145000</v>
      </c>
      <c r="G7" s="14">
        <f t="shared" si="0"/>
        <v>8921000</v>
      </c>
      <c r="H7" s="14">
        <f t="shared" si="1"/>
        <v>257728.85471957424</v>
      </c>
      <c r="I7" s="14">
        <f t="shared" si="2"/>
        <v>8663271.1452804264</v>
      </c>
    </row>
    <row r="8" spans="1:9" ht="15.75" customHeight="1" x14ac:dyDescent="0.25">
      <c r="A8" s="7">
        <f t="shared" si="3"/>
        <v>2027</v>
      </c>
      <c r="B8" s="52">
        <v>243651.2292</v>
      </c>
      <c r="C8" s="53">
        <v>512000</v>
      </c>
      <c r="D8" s="53">
        <v>811000</v>
      </c>
      <c r="E8" s="53">
        <v>4598000</v>
      </c>
      <c r="F8" s="53">
        <v>3255000</v>
      </c>
      <c r="G8" s="14">
        <f t="shared" si="0"/>
        <v>9176000</v>
      </c>
      <c r="H8" s="14">
        <f t="shared" si="1"/>
        <v>257724.04530534291</v>
      </c>
      <c r="I8" s="14">
        <f t="shared" si="2"/>
        <v>8918275.9546946567</v>
      </c>
    </row>
    <row r="9" spans="1:9" ht="15.75" customHeight="1" x14ac:dyDescent="0.25">
      <c r="A9" s="7">
        <f t="shared" si="3"/>
        <v>2028</v>
      </c>
      <c r="B9" s="52">
        <v>243479.62239999991</v>
      </c>
      <c r="C9" s="53">
        <v>529000</v>
      </c>
      <c r="D9" s="53">
        <v>820000</v>
      </c>
      <c r="E9" s="53">
        <v>4722000</v>
      </c>
      <c r="F9" s="53">
        <v>3367000</v>
      </c>
      <c r="G9" s="14">
        <f t="shared" si="0"/>
        <v>9438000</v>
      </c>
      <c r="H9" s="14">
        <f t="shared" si="1"/>
        <v>257542.52683386568</v>
      </c>
      <c r="I9" s="14">
        <f t="shared" si="2"/>
        <v>9180457.4731661342</v>
      </c>
    </row>
    <row r="10" spans="1:9" ht="15.75" customHeight="1" x14ac:dyDescent="0.25">
      <c r="A10" s="7">
        <f t="shared" si="3"/>
        <v>2029</v>
      </c>
      <c r="B10" s="52">
        <v>243165.1862</v>
      </c>
      <c r="C10" s="53">
        <v>544000</v>
      </c>
      <c r="D10" s="53">
        <v>835000</v>
      </c>
      <c r="E10" s="53">
        <v>4857000</v>
      </c>
      <c r="F10" s="53">
        <v>3480000</v>
      </c>
      <c r="G10" s="14">
        <f t="shared" si="0"/>
        <v>9716000</v>
      </c>
      <c r="H10" s="14">
        <f t="shared" si="1"/>
        <v>257209.92941697393</v>
      </c>
      <c r="I10" s="14">
        <f t="shared" si="2"/>
        <v>9458790.0705830269</v>
      </c>
    </row>
    <row r="11" spans="1:9" ht="15.75" customHeight="1" x14ac:dyDescent="0.25">
      <c r="A11" s="7">
        <f t="shared" si="3"/>
        <v>2030</v>
      </c>
      <c r="B11" s="52">
        <v>242730.696</v>
      </c>
      <c r="C11" s="53">
        <v>556000</v>
      </c>
      <c r="D11" s="53">
        <v>855000</v>
      </c>
      <c r="E11" s="53">
        <v>5006000</v>
      </c>
      <c r="F11" s="53">
        <v>3596000</v>
      </c>
      <c r="G11" s="14">
        <f t="shared" si="0"/>
        <v>10013000</v>
      </c>
      <c r="H11" s="14">
        <f t="shared" si="1"/>
        <v>256750.34391700663</v>
      </c>
      <c r="I11" s="14">
        <f t="shared" si="2"/>
        <v>9756249.6560829934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R2MWJrvJVQL5y7QBTvQzYlhaCsLFLHCnho7Rmo/Xmuse2QffVRLIt3+CPL8zsTy3o5rIoow+YvMO8kIcBGZYwg==" saltValue="J43qUD1eE0tcBNM4kbipE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XplFTtPh30B5EVUBgdp4agGYOiLHX2XndeEWL5zBIT6sXZwVEOSyjD0+3Hs5DlzMLqTcnAMuZamO8+waRwuDkQ==" saltValue="P3dtHnnm08IhNuDvhYwtWw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qHdXQZ8DqRkmV7qbAoxjMJAVkVL2NciOzG09RFb6Q2BksNuoNNSbBAdWRs1oRiZcvpbNSIvhxuYBsxNfuu6Zzw==" saltValue="+NHS8R/89HW6hflKWJe9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KM57jvhuTGLgjDY7a9YmrgWwDcar5OkOFF4wQ8/U60hDhaOQjLHnJoadFgvSevigebtNU+R1KYfDUXn2aizAYA==" saltValue="ZvVRERPMuWdZ8+hsLJh+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065cdw36/etKQyuUiWKpUYejIuHPxSYtbpmmq1DQYDGpOJQ0G9RECq4B5NosL/41kx9NlxG0SEUZbAoCgtaF7w==" saltValue="6AGfl7PKo/xfIGYGHN0K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q914GdI0phiumCiU56+Q9P7EAKw03k4aEyVxR6IvBOV8rdjtld+XUf8SRq6QqAC+fRbSYSSZ3iYQwm6V5NGZiw==" saltValue="SCz4TzpEXoeghUx6NwEDG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ZriQ9WZSrENNK0lTMRJosaxPbynrrEINGvLZMWpoGTMpR7VQsHB2jZbKRrB+TF0Szm2ULCKwijPkHo6cOlt26g==" saltValue="4QWWhAvBcSJXsJMsoztgL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q4AcqOrJKfcDS9UFI1JDQAW8wlR6uL3JGIqQXYrk2q7LrxL6gGarUnqfkrA+Y6+lwPj3vLjPfyrCgpTHsAROfA==" saltValue="GNiWhRRWCNPnwKi1wYitX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2ggboi53c3IjA05OPG0E6juEMMnVSoIJTtzXJbKSdEUgNFyGRMILJLgRrvWzn2ZQtx9ENE1dstlHf4MKhZ/60w==" saltValue="1Fq0AKC6QncN338/wBgQQ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/QnQUIG4AMxIsTA9wCWZ/kvWXoRI/7Y2eYx6cLf88taFtEYDRs7s25cK+KC+PjCbJHk46f4yVl2D7rNfYlCBpA==" saltValue="iVj/jC/iwO9bppvuFJ7L/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4.0233655536580492E-3</v>
      </c>
    </row>
    <row r="4" spans="1:8" ht="15.75" customHeight="1" x14ac:dyDescent="0.25">
      <c r="B4" s="16" t="s">
        <v>79</v>
      </c>
      <c r="C4" s="54">
        <v>0.1228700268072636</v>
      </c>
    </row>
    <row r="5" spans="1:8" ht="15.75" customHeight="1" x14ac:dyDescent="0.25">
      <c r="B5" s="16" t="s">
        <v>80</v>
      </c>
      <c r="C5" s="54">
        <v>6.0952016095778279E-2</v>
      </c>
    </row>
    <row r="6" spans="1:8" ht="15.75" customHeight="1" x14ac:dyDescent="0.25">
      <c r="B6" s="16" t="s">
        <v>81</v>
      </c>
      <c r="C6" s="54">
        <v>0.25052948415539211</v>
      </c>
    </row>
    <row r="7" spans="1:8" ht="15.75" customHeight="1" x14ac:dyDescent="0.25">
      <c r="B7" s="16" t="s">
        <v>82</v>
      </c>
      <c r="C7" s="54">
        <v>0.3156167743772183</v>
      </c>
    </row>
    <row r="8" spans="1:8" ht="15.75" customHeight="1" x14ac:dyDescent="0.25">
      <c r="B8" s="16" t="s">
        <v>83</v>
      </c>
      <c r="C8" s="54">
        <v>4.6299750366725926E-3</v>
      </c>
    </row>
    <row r="9" spans="1:8" ht="15.75" customHeight="1" x14ac:dyDescent="0.25">
      <c r="B9" s="16" t="s">
        <v>84</v>
      </c>
      <c r="C9" s="54">
        <v>0.14275968635991829</v>
      </c>
    </row>
    <row r="10" spans="1:8" ht="15.75" customHeight="1" x14ac:dyDescent="0.25">
      <c r="B10" s="16" t="s">
        <v>85</v>
      </c>
      <c r="C10" s="54">
        <v>9.8618671614099027E-2</v>
      </c>
    </row>
    <row r="11" spans="1:8" ht="15.75" customHeight="1" x14ac:dyDescent="0.25">
      <c r="B11" s="24" t="s">
        <v>41</v>
      </c>
      <c r="C11" s="50">
        <f>SUM(C3:C10)</f>
        <v>1.0000000000000002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0.1220959186177451</v>
      </c>
      <c r="D14" s="54">
        <v>0.1220959186177451</v>
      </c>
      <c r="E14" s="54">
        <v>0.1220959186177451</v>
      </c>
      <c r="F14" s="54">
        <v>0.1220959186177451</v>
      </c>
    </row>
    <row r="15" spans="1:8" ht="15.75" customHeight="1" x14ac:dyDescent="0.25">
      <c r="B15" s="16" t="s">
        <v>88</v>
      </c>
      <c r="C15" s="54">
        <v>0.27917356568350132</v>
      </c>
      <c r="D15" s="54">
        <v>0.27917356568350132</v>
      </c>
      <c r="E15" s="54">
        <v>0.27917356568350132</v>
      </c>
      <c r="F15" s="54">
        <v>0.27917356568350132</v>
      </c>
    </row>
    <row r="16" spans="1:8" ht="15.75" customHeight="1" x14ac:dyDescent="0.25">
      <c r="B16" s="16" t="s">
        <v>89</v>
      </c>
      <c r="C16" s="54">
        <v>3.7155477328350443E-2</v>
      </c>
      <c r="D16" s="54">
        <v>3.7155477328350443E-2</v>
      </c>
      <c r="E16" s="54">
        <v>3.7155477328350443E-2</v>
      </c>
      <c r="F16" s="54">
        <v>3.7155477328350443E-2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7.2227909661250651E-3</v>
      </c>
      <c r="D19" s="54">
        <v>7.2227909661250651E-3</v>
      </c>
      <c r="E19" s="54">
        <v>7.2227909661250651E-3</v>
      </c>
      <c r="F19" s="54">
        <v>7.2227909661250651E-3</v>
      </c>
    </row>
    <row r="20" spans="1:8" ht="15.75" customHeight="1" x14ac:dyDescent="0.25">
      <c r="B20" s="16" t="s">
        <v>93</v>
      </c>
      <c r="C20" s="54">
        <v>1.0670869510367661E-2</v>
      </c>
      <c r="D20" s="54">
        <v>1.0670869510367661E-2</v>
      </c>
      <c r="E20" s="54">
        <v>1.0670869510367661E-2</v>
      </c>
      <c r="F20" s="54">
        <v>1.0670869510367661E-2</v>
      </c>
    </row>
    <row r="21" spans="1:8" ht="15.75" customHeight="1" x14ac:dyDescent="0.25">
      <c r="B21" s="16" t="s">
        <v>94</v>
      </c>
      <c r="C21" s="54">
        <v>0.13531853152542331</v>
      </c>
      <c r="D21" s="54">
        <v>0.13531853152542331</v>
      </c>
      <c r="E21" s="54">
        <v>0.13531853152542331</v>
      </c>
      <c r="F21" s="54">
        <v>0.13531853152542331</v>
      </c>
    </row>
    <row r="22" spans="1:8" ht="15.75" customHeight="1" x14ac:dyDescent="0.25">
      <c r="B22" s="16" t="s">
        <v>95</v>
      </c>
      <c r="C22" s="54">
        <v>0.40836284636848741</v>
      </c>
      <c r="D22" s="54">
        <v>0.40836284636848741</v>
      </c>
      <c r="E22" s="54">
        <v>0.40836284636848741</v>
      </c>
      <c r="F22" s="54">
        <v>0.40836284636848741</v>
      </c>
    </row>
    <row r="23" spans="1:8" ht="15.75" customHeight="1" x14ac:dyDescent="0.25">
      <c r="B23" s="24" t="s">
        <v>41</v>
      </c>
      <c r="C23" s="50">
        <f>SUM(C14:C22)</f>
        <v>1.0000000000000004</v>
      </c>
      <c r="D23" s="50">
        <f>SUM(D14:D22)</f>
        <v>1.0000000000000004</v>
      </c>
      <c r="E23" s="50">
        <f>SUM(E14:E22)</f>
        <v>1.0000000000000004</v>
      </c>
      <c r="F23" s="50">
        <f>SUM(F14:F22)</f>
        <v>1.0000000000000004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5.4600000000000003E-2</v>
      </c>
    </row>
    <row r="27" spans="1:8" ht="15.75" customHeight="1" x14ac:dyDescent="0.25">
      <c r="B27" s="16" t="s">
        <v>102</v>
      </c>
      <c r="C27" s="54">
        <v>5.9400000000000001E-2</v>
      </c>
    </row>
    <row r="28" spans="1:8" ht="15.75" customHeight="1" x14ac:dyDescent="0.25">
      <c r="B28" s="16" t="s">
        <v>103</v>
      </c>
      <c r="C28" s="54">
        <v>0.121</v>
      </c>
    </row>
    <row r="29" spans="1:8" ht="15.75" customHeight="1" x14ac:dyDescent="0.25">
      <c r="B29" s="16" t="s">
        <v>104</v>
      </c>
      <c r="C29" s="54">
        <v>0.13500000000000001</v>
      </c>
    </row>
    <row r="30" spans="1:8" ht="15.75" customHeight="1" x14ac:dyDescent="0.25">
      <c r="B30" s="16" t="s">
        <v>2</v>
      </c>
      <c r="C30" s="54">
        <v>8.14E-2</v>
      </c>
    </row>
    <row r="31" spans="1:8" ht="15.75" customHeight="1" x14ac:dyDescent="0.25">
      <c r="B31" s="16" t="s">
        <v>105</v>
      </c>
      <c r="C31" s="54">
        <v>6.59E-2</v>
      </c>
    </row>
    <row r="32" spans="1:8" ht="15.75" customHeight="1" x14ac:dyDescent="0.25">
      <c r="B32" s="16" t="s">
        <v>106</v>
      </c>
      <c r="C32" s="54">
        <v>0.13220000000000001</v>
      </c>
    </row>
    <row r="33" spans="2:3" ht="15.75" customHeight="1" x14ac:dyDescent="0.25">
      <c r="B33" s="16" t="s">
        <v>107</v>
      </c>
      <c r="C33" s="54">
        <v>0.12740000000000001</v>
      </c>
    </row>
    <row r="34" spans="2:3" ht="15.75" customHeight="1" x14ac:dyDescent="0.25">
      <c r="B34" s="16" t="s">
        <v>108</v>
      </c>
      <c r="C34" s="54">
        <v>0.22309999999999999</v>
      </c>
    </row>
    <row r="35" spans="2:3" ht="15.75" customHeight="1" x14ac:dyDescent="0.25">
      <c r="B35" s="24" t="s">
        <v>41</v>
      </c>
      <c r="C35" s="50">
        <f>SUM(C26:C34)</f>
        <v>0.99999999999999989</v>
      </c>
    </row>
  </sheetData>
  <sheetProtection algorithmName="SHA-512" hashValue="KQeX+m7tr+QswX2jOpemGnSUEBjrwBoTBPdPXfR5rU9bG03p6dt9Sk9+WOjxSxazkWRH7QZJCsVnEyzXl5xCrA==" saltValue="CJjODcDf4aZEk0moNLTpb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0.82927119731903109</v>
      </c>
      <c r="D2" s="55">
        <v>0.82927119731903109</v>
      </c>
      <c r="E2" s="55">
        <v>0.75374019145965609</v>
      </c>
      <c r="F2" s="55">
        <v>0.526780605316162</v>
      </c>
      <c r="G2" s="55">
        <v>0.45815721154213002</v>
      </c>
    </row>
    <row r="3" spans="1:15" ht="15.75" customHeight="1" x14ac:dyDescent="0.25">
      <c r="B3" s="7" t="s">
        <v>113</v>
      </c>
      <c r="C3" s="55">
        <v>0.104553237557411</v>
      </c>
      <c r="D3" s="55">
        <v>0.104553237557411</v>
      </c>
      <c r="E3" s="55">
        <v>0.17584252357482899</v>
      </c>
      <c r="F3" s="55">
        <v>0.29436054825782798</v>
      </c>
      <c r="G3" s="55">
        <v>0.33176454901695301</v>
      </c>
    </row>
    <row r="4" spans="1:15" ht="15.75" customHeight="1" x14ac:dyDescent="0.25">
      <c r="B4" s="7" t="s">
        <v>114</v>
      </c>
      <c r="C4" s="56">
        <v>5.3320139646530193E-2</v>
      </c>
      <c r="D4" s="56">
        <v>5.3320139646530193E-2</v>
      </c>
      <c r="E4" s="56">
        <v>5.2489981055259698E-2</v>
      </c>
      <c r="F4" s="56">
        <v>0.12788374722003901</v>
      </c>
      <c r="G4" s="56">
        <v>0.158230796456337</v>
      </c>
    </row>
    <row r="5" spans="1:15" ht="15.75" customHeight="1" x14ac:dyDescent="0.25">
      <c r="B5" s="7" t="s">
        <v>115</v>
      </c>
      <c r="C5" s="56">
        <v>1.28554534167051E-2</v>
      </c>
      <c r="D5" s="56">
        <v>1.28554534167051E-2</v>
      </c>
      <c r="E5" s="56">
        <v>1.79272890090942E-2</v>
      </c>
      <c r="F5" s="56">
        <v>5.0975099205970799E-2</v>
      </c>
      <c r="G5" s="56">
        <v>5.1847454160451903E-2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0.7101387977600101</v>
      </c>
      <c r="D8" s="55">
        <v>0.7101387977600101</v>
      </c>
      <c r="E8" s="55">
        <v>0.72529369592666593</v>
      </c>
      <c r="F8" s="55">
        <v>0.76570183038711503</v>
      </c>
      <c r="G8" s="55">
        <v>0.87253409624099698</v>
      </c>
    </row>
    <row r="9" spans="1:15" ht="15.75" customHeight="1" x14ac:dyDescent="0.25">
      <c r="B9" s="7" t="s">
        <v>118</v>
      </c>
      <c r="C9" s="55">
        <v>0.15294894576072701</v>
      </c>
      <c r="D9" s="55">
        <v>0.15294894576072701</v>
      </c>
      <c r="E9" s="55">
        <v>0.17593939602375</v>
      </c>
      <c r="F9" s="55">
        <v>0.16452808678150199</v>
      </c>
      <c r="G9" s="55">
        <v>9.8628237843513503E-2</v>
      </c>
    </row>
    <row r="10" spans="1:15" ht="15.75" customHeight="1" x14ac:dyDescent="0.25">
      <c r="B10" s="7" t="s">
        <v>119</v>
      </c>
      <c r="C10" s="56">
        <v>8.0401629209518391E-2</v>
      </c>
      <c r="D10" s="56">
        <v>8.0401629209518391E-2</v>
      </c>
      <c r="E10" s="56">
        <v>6.7012108862400097E-2</v>
      </c>
      <c r="F10" s="56">
        <v>4.9297049641609199E-2</v>
      </c>
      <c r="G10" s="56">
        <v>2.0181475207209601E-2</v>
      </c>
    </row>
    <row r="11" spans="1:15" ht="15.75" customHeight="1" x14ac:dyDescent="0.25">
      <c r="B11" s="7" t="s">
        <v>120</v>
      </c>
      <c r="C11" s="56">
        <v>5.6510630995035199E-2</v>
      </c>
      <c r="D11" s="56">
        <v>5.6510630995035199E-2</v>
      </c>
      <c r="E11" s="56">
        <v>3.1754780560731902E-2</v>
      </c>
      <c r="F11" s="56">
        <v>2.04730574041605E-2</v>
      </c>
      <c r="G11" s="56">
        <v>8.6561692878604005E-3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0.50674149000000002</v>
      </c>
      <c r="D14" s="57">
        <v>0.482549529468</v>
      </c>
      <c r="E14" s="57">
        <v>0.482549529468</v>
      </c>
      <c r="F14" s="57">
        <v>0.36602033348399998</v>
      </c>
      <c r="G14" s="57">
        <v>0.36602033348399998</v>
      </c>
      <c r="H14" s="58">
        <v>0.755</v>
      </c>
      <c r="I14" s="58">
        <v>0.34110218978102191</v>
      </c>
      <c r="J14" s="58">
        <v>0.44353527980535268</v>
      </c>
      <c r="K14" s="58">
        <v>0.44558394160583942</v>
      </c>
      <c r="L14" s="58">
        <v>0.32823115156299998</v>
      </c>
      <c r="M14" s="58">
        <v>0.24611319682300001</v>
      </c>
      <c r="N14" s="58">
        <v>0.24744971867900001</v>
      </c>
      <c r="O14" s="58">
        <v>0.29423493094399999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0.27550623008918529</v>
      </c>
      <c r="D15" s="55">
        <f t="shared" si="0"/>
        <v>0.26235349644458539</v>
      </c>
      <c r="E15" s="55">
        <f t="shared" si="0"/>
        <v>0.26235349644458539</v>
      </c>
      <c r="F15" s="55">
        <f t="shared" si="0"/>
        <v>0.19899866934946106</v>
      </c>
      <c r="G15" s="55">
        <f t="shared" si="0"/>
        <v>0.19899866934946106</v>
      </c>
      <c r="H15" s="55">
        <f t="shared" si="0"/>
        <v>0.41047991495098402</v>
      </c>
      <c r="I15" s="55">
        <f t="shared" si="0"/>
        <v>0.18545112298133545</v>
      </c>
      <c r="J15" s="55">
        <f t="shared" si="0"/>
        <v>0.24114215090365834</v>
      </c>
      <c r="K15" s="55">
        <f t="shared" si="0"/>
        <v>0.24225597146210487</v>
      </c>
      <c r="L15" s="55">
        <f t="shared" si="0"/>
        <v>0.17845337109648182</v>
      </c>
      <c r="M15" s="55">
        <f t="shared" si="0"/>
        <v>0.1338073166890329</v>
      </c>
      <c r="N15" s="55">
        <f t="shared" si="0"/>
        <v>0.13453395957351105</v>
      </c>
      <c r="O15" s="55">
        <f t="shared" si="0"/>
        <v>0.15997023765496923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DhFVWixoSZhaSPn6dOKVQKsSrhuxxwhcKSNUc6OQYbn/2vzUGRHhYSXXStitwhz7LsaKlio/JTvzZO4KKI7HVw==" saltValue="LwmtfelfG4NVAIqlaCbg8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0.55160951614379894</v>
      </c>
      <c r="D2" s="56">
        <v>0.31436900000000001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0.26624441146850603</v>
      </c>
      <c r="D3" s="56">
        <v>0.36587259999999999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0.125422403216362</v>
      </c>
      <c r="D4" s="56">
        <v>0.27279639999999999</v>
      </c>
      <c r="E4" s="56">
        <v>0.90193724632263195</v>
      </c>
      <c r="F4" s="56">
        <v>0.57143712043762196</v>
      </c>
      <c r="G4" s="56">
        <v>0</v>
      </c>
    </row>
    <row r="5" spans="1:7" x14ac:dyDescent="0.25">
      <c r="B5" s="98" t="s">
        <v>132</v>
      </c>
      <c r="C5" s="55">
        <v>5.6723669171333001E-2</v>
      </c>
      <c r="D5" s="55">
        <v>4.6961999999999997E-2</v>
      </c>
      <c r="E5" s="55">
        <v>9.8062753677368025E-2</v>
      </c>
      <c r="F5" s="55">
        <v>0.42856287956237799</v>
      </c>
      <c r="G5" s="55">
        <v>1</v>
      </c>
    </row>
  </sheetData>
  <sheetProtection algorithmName="SHA-512" hashValue="K9WQLm+FdWr3LV+bypyo3Ze/R5S1gr3+KsPoYDVoTP2ddmL1TGPgvHLew7zHBDXI7SrYq4xM5LUzECdZEJNrDw==" saltValue="jeS42LaU+Q6c/EJfyOWWu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x3tnoL6qrqqjp4WNCWkcKhVwZfoig0VC0os+Iu5gYIllG5O0Bc0UGdgth/EABFJatdtCqrNub4zIUTerkTNzMg==" saltValue="53raHgno6ArNcRJFxUy6j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eG3qrsLkdQExemwgZc/pfMcmhmqZYFs6rCRC1kSnV/386OEOlYhh/6N8hFXSKA48YRN5ZkLj72MvuON0y0Trqg==" saltValue="KaPTx+4TlG12ykJp9CZih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aHT5E5JPBmod8BqcqAHty9vWve+LkEXnL74RpMHqhGOqMmOJ6lePajA436HuzP1jQdP2kdWuy6JZaykjB8fFnA==" saltValue="h8JnbZOu/ytTIPxJR3Exn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wTe/yyrT9klb0/0tgCq/WZBE38YZSsARO+a4VdLsIygrSGZ425dPgDhwynjHGQJddRrcfqP98uTzxF2RwZbt1Q==" saltValue="xLfoiFfhItSIrKkgU3Pjj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2022-02-01T04:56:37Z</dcterms:modified>
</cp:coreProperties>
</file>