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4E31C7FE-AAF9-4003-9D13-74D0B5D782E9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<sst xmlns="http://schemas.openxmlformats.org/spreadsheetml/2006/main" count="2092" uniqueCount="341">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</sst>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1704972.671875</v>
      </c>
    </row>
    <row r="8" spans="1:3" ht="15" customHeight="1" x14ac:dyDescent="0.25">
      <c r="B8" s="5" t="s">
        <v>8</v>
      </c>
      <c r="C8" s="44">
        <v>0.42699999999999999</v>
      </c>
    </row>
    <row r="9" spans="1:3" ht="15" customHeight="1" x14ac:dyDescent="0.25">
      <c r="B9" s="5" t="s">
        <v>9</v>
      </c>
      <c r="C9" s="45">
        <v>0.39</v>
      </c>
    </row>
    <row r="10" spans="1:3" ht="15" customHeight="1" x14ac:dyDescent="0.25">
      <c r="B10" s="5" t="s">
        <v>10</v>
      </c>
      <c r="C10" s="45">
        <v>4.0349397659301803E-2</v>
      </c>
    </row>
    <row r="11" spans="1:3" ht="15" customHeight="1" x14ac:dyDescent="0.25">
      <c r="B11" s="5" t="s">
        <v>11</v>
      </c>
      <c r="C11" s="45">
        <v>0.17</v>
      </c>
    </row>
    <row r="12" spans="1:3" ht="15" customHeight="1" x14ac:dyDescent="0.25">
      <c r="B12" s="5" t="s">
        <v>12</v>
      </c>
      <c r="C12" s="45">
        <v>0.47599999999999998</v>
      </c>
    </row>
    <row r="13" spans="1:3" ht="15" customHeight="1" x14ac:dyDescent="0.25">
      <c r="B13" s="5" t="s">
        <v>13</v>
      </c>
      <c r="C13" s="45">
        <v>0.94400000000000006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6.7500000000000004E-2</v>
      </c>
    </row>
    <row r="24" spans="1:3" ht="15" customHeight="1" x14ac:dyDescent="0.25">
      <c r="B24" s="15" t="s">
        <v>22</v>
      </c>
      <c r="C24" s="45">
        <v>0.51</v>
      </c>
    </row>
    <row r="25" spans="1:3" ht="15" customHeight="1" x14ac:dyDescent="0.25">
      <c r="B25" s="15" t="s">
        <v>23</v>
      </c>
      <c r="C25" s="45">
        <v>0.32150000000000001</v>
      </c>
    </row>
    <row r="26" spans="1:3" ht="15" customHeight="1" x14ac:dyDescent="0.25">
      <c r="B26" s="15" t="s">
        <v>24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0.19150365160233301</v>
      </c>
    </row>
    <row r="30" spans="1:3" ht="14.25" customHeight="1" x14ac:dyDescent="0.25">
      <c r="B30" s="25" t="s">
        <v>27</v>
      </c>
      <c r="C30" s="99">
        <v>6.8825578474898896E-2</v>
      </c>
    </row>
    <row r="31" spans="1:3" ht="14.25" customHeight="1" x14ac:dyDescent="0.25">
      <c r="B31" s="25" t="s">
        <v>28</v>
      </c>
      <c r="C31" s="99">
        <v>0.12157427723799701</v>
      </c>
    </row>
    <row r="32" spans="1:3" ht="14.25" customHeight="1" x14ac:dyDescent="0.25">
      <c r="B32" s="25" t="s">
        <v>29</v>
      </c>
      <c r="C32" s="99">
        <v>0.61809649268477107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38.604565867455698</v>
      </c>
    </row>
    <row r="38" spans="1:5" ht="15" customHeight="1" x14ac:dyDescent="0.25">
      <c r="B38" s="11" t="s">
        <v>34</v>
      </c>
      <c r="C38" s="43">
        <v>62.3710703861653</v>
      </c>
      <c r="D38" s="12"/>
      <c r="E38" s="13"/>
    </row>
    <row r="39" spans="1:5" ht="15" customHeight="1" x14ac:dyDescent="0.25">
      <c r="B39" s="11" t="s">
        <v>35</v>
      </c>
      <c r="C39" s="43">
        <v>96.229298685854801</v>
      </c>
      <c r="D39" s="12"/>
      <c r="E39" s="12"/>
    </row>
    <row r="40" spans="1:5" ht="15" customHeight="1" x14ac:dyDescent="0.25">
      <c r="B40" s="11" t="s">
        <v>36</v>
      </c>
      <c r="C40" s="100">
        <v>11.5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28.81322853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2.11627E-2</v>
      </c>
      <c r="D45" s="12"/>
    </row>
    <row r="46" spans="1:5" ht="15.75" customHeight="1" x14ac:dyDescent="0.25">
      <c r="B46" s="11" t="s">
        <v>41</v>
      </c>
      <c r="C46" s="45">
        <v>0.1106215</v>
      </c>
      <c r="D46" s="12"/>
    </row>
    <row r="47" spans="1:5" ht="15.75" customHeight="1" x14ac:dyDescent="0.25">
      <c r="B47" s="11" t="s">
        <v>42</v>
      </c>
      <c r="C47" s="45">
        <v>0.39544119999999999</v>
      </c>
      <c r="D47" s="12"/>
      <c r="E47" s="13"/>
    </row>
    <row r="48" spans="1:5" ht="15" customHeight="1" x14ac:dyDescent="0.25">
      <c r="B48" s="11" t="s">
        <v>43</v>
      </c>
      <c r="C48" s="46">
        <v>0.47277459999999999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0.52577700000000005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0.13407298365439099</v>
      </c>
      <c r="C2" s="98">
        <v>0.95</v>
      </c>
      <c r="D2" s="56">
        <v>33.111327336400471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47.324666225751173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23.744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2.8660164968156591E-2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4.1546131914037499E-2</v>
      </c>
      <c r="C10" s="98">
        <v>0.95</v>
      </c>
      <c r="D10" s="56">
        <v>14.98391555624624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4.1546131914037499E-2</v>
      </c>
      <c r="C11" s="98">
        <v>0.95</v>
      </c>
      <c r="D11" s="56">
        <v>14.98391555624624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4.1546131914037499E-2</v>
      </c>
      <c r="C12" s="98">
        <v>0.95</v>
      </c>
      <c r="D12" s="56">
        <v>14.98391555624624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4.1546131914037499E-2</v>
      </c>
      <c r="C13" s="98">
        <v>0.95</v>
      </c>
      <c r="D13" s="56">
        <v>14.98391555624624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4.1546131914037499E-2</v>
      </c>
      <c r="C14" s="98">
        <v>0.95</v>
      </c>
      <c r="D14" s="56">
        <v>14.98391555624624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4.1546131914037499E-2</v>
      </c>
      <c r="C15" s="98">
        <v>0.95</v>
      </c>
      <c r="D15" s="56">
        <v>14.98391555624624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0.18651362650506129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0.19288369999999999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0.76</v>
      </c>
      <c r="C18" s="98">
        <v>0.95</v>
      </c>
      <c r="D18" s="56">
        <v>0.66496463640733372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0.66496463640733372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0.1227158</v>
      </c>
      <c r="C21" s="98">
        <v>0.95</v>
      </c>
      <c r="D21" s="56">
        <v>0.31107361314039889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25.501496741923479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4.8905827235809092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3.10199772082E-2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3.2403387803371299E-2</v>
      </c>
      <c r="C27" s="98">
        <v>0.95</v>
      </c>
      <c r="D27" s="56">
        <v>21.765226394387359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0.113216843085857</v>
      </c>
      <c r="C29" s="98">
        <v>0.95</v>
      </c>
      <c r="D29" s="56">
        <v>56.776245279132063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9.3761294689777941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1.345673084E-2</v>
      </c>
      <c r="C32" s="98">
        <v>0.95</v>
      </c>
      <c r="D32" s="56">
        <v>0.33062969270167181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0.15741054713725999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0.38883210000000001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2.774364E-2</v>
      </c>
      <c r="C38" s="98">
        <v>0.95</v>
      </c>
      <c r="D38" s="56">
        <v>5.9681168424615683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3.2789707354722898E-2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0.29120254665613282</v>
      </c>
      <c r="C3" s="21">
        <f>frac_mam_1_5months * 2.6</f>
        <v>0.29120254665613282</v>
      </c>
      <c r="D3" s="21">
        <f>frac_mam_6_11months * 2.6</f>
        <v>0.40556049048900583</v>
      </c>
      <c r="E3" s="21">
        <f>frac_mam_12_23months * 2.6</f>
        <v>0.3329371273517614</v>
      </c>
      <c r="F3" s="21">
        <f>frac_mam_24_59months * 2.6</f>
        <v>0.32151324450969621</v>
      </c>
    </row>
    <row r="4" spans="1:6" ht="15.75" customHeight="1" x14ac:dyDescent="0.25">
      <c r="A4" s="3" t="s">
        <v>205</v>
      </c>
      <c r="B4" s="21">
        <f>frac_sam_1month * 2.6</f>
        <v>0.22625849545001975</v>
      </c>
      <c r="C4" s="21">
        <f>frac_sam_1_5months * 2.6</f>
        <v>0.22625849545001975</v>
      </c>
      <c r="D4" s="21">
        <f>frac_sam_6_11months * 2.6</f>
        <v>0.299175317585469</v>
      </c>
      <c r="E4" s="21">
        <f>frac_sam_12_23months * 2.6</f>
        <v>0.25278518199920652</v>
      </c>
      <c r="F4" s="21">
        <f>frac_sam_24_59months * 2.6</f>
        <v>0.24493354111909882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0.42699999999999999</v>
      </c>
      <c r="E2" s="60">
        <f>food_insecure</f>
        <v>0.42699999999999999</v>
      </c>
      <c r="F2" s="60">
        <f>food_insecure</f>
        <v>0.42699999999999999</v>
      </c>
      <c r="G2" s="60">
        <f>food_insecure</f>
        <v>0.42699999999999999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0.42699999999999999</v>
      </c>
      <c r="F5" s="60">
        <f>food_insecure</f>
        <v>0.42699999999999999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0.42699999999999999</v>
      </c>
      <c r="F8" s="60">
        <f>food_insecure</f>
        <v>0.42699999999999999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0.42699999999999999</v>
      </c>
      <c r="F9" s="60">
        <f>food_insecure</f>
        <v>0.42699999999999999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0.47599999999999998</v>
      </c>
      <c r="E10" s="60">
        <f>IF(ISBLANK(comm_deliv), frac_children_health_facility,1)</f>
        <v>0.47599999999999998</v>
      </c>
      <c r="F10" s="60">
        <f>IF(ISBLANK(comm_deliv), frac_children_health_facility,1)</f>
        <v>0.47599999999999998</v>
      </c>
      <c r="G10" s="60">
        <f>IF(ISBLANK(comm_deliv), frac_children_health_facility,1)</f>
        <v>0.47599999999999998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0.42699999999999999</v>
      </c>
      <c r="I15" s="60">
        <f>food_insecure</f>
        <v>0.42699999999999999</v>
      </c>
      <c r="J15" s="60">
        <f>food_insecure</f>
        <v>0.42699999999999999</v>
      </c>
      <c r="K15" s="60">
        <f>food_insecure</f>
        <v>0.42699999999999999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</v>
      </c>
      <c r="I18" s="60">
        <f>frac_PW_health_facility</f>
        <v>0.17</v>
      </c>
      <c r="J18" s="60">
        <f>frac_PW_health_facility</f>
        <v>0.17</v>
      </c>
      <c r="K18" s="60">
        <f>frac_PW_health_facility</f>
        <v>0.17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0.39</v>
      </c>
      <c r="I19" s="60">
        <f>frac_malaria_risk</f>
        <v>0.39</v>
      </c>
      <c r="J19" s="60">
        <f>frac_malaria_risk</f>
        <v>0.39</v>
      </c>
      <c r="K19" s="60">
        <f>frac_malaria_risk</f>
        <v>0.39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0.94400000000000006</v>
      </c>
      <c r="M24" s="60">
        <f>famplan_unmet_need</f>
        <v>0.94400000000000006</v>
      </c>
      <c r="N24" s="60">
        <f>famplan_unmet_need</f>
        <v>0.94400000000000006</v>
      </c>
      <c r="O24" s="60">
        <f>famplan_unmet_need</f>
        <v>0.94400000000000006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0.55628066465883252</v>
      </c>
      <c r="M25" s="60">
        <f>(1-food_insecure)*(0.49)+food_insecure*(0.7)</f>
        <v>0.57966999999999991</v>
      </c>
      <c r="N25" s="60">
        <f>(1-food_insecure)*(0.49)+food_insecure*(0.7)</f>
        <v>0.57966999999999991</v>
      </c>
      <c r="O25" s="60">
        <f>(1-food_insecure)*(0.49)+food_insecure*(0.7)</f>
        <v>0.57966999999999991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0.23840599913949964</v>
      </c>
      <c r="M26" s="60">
        <f>(1-food_insecure)*(0.21)+food_insecure*(0.3)</f>
        <v>0.24842999999999998</v>
      </c>
      <c r="N26" s="60">
        <f>(1-food_insecure)*(0.21)+food_insecure*(0.3)</f>
        <v>0.24842999999999998</v>
      </c>
      <c r="O26" s="60">
        <f>(1-food_insecure)*(0.21)+food_insecure*(0.3)</f>
        <v>0.24842999999999998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0.16496393854236599</v>
      </c>
      <c r="M27" s="60">
        <f>(1-food_insecure)*(0.3)</f>
        <v>0.17189999999999997</v>
      </c>
      <c r="N27" s="60">
        <f>(1-food_insecure)*(0.3)</f>
        <v>0.17189999999999997</v>
      </c>
      <c r="O27" s="60">
        <f>(1-food_insecure)*(0.3)</f>
        <v>0.17189999999999997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4.0349397659301803E-2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0.39</v>
      </c>
      <c r="D34" s="60">
        <f t="shared" si="3"/>
        <v>0.39</v>
      </c>
      <c r="E34" s="60">
        <f t="shared" si="3"/>
        <v>0.39</v>
      </c>
      <c r="F34" s="60">
        <f t="shared" si="3"/>
        <v>0.39</v>
      </c>
      <c r="G34" s="60">
        <f t="shared" si="3"/>
        <v>0.39</v>
      </c>
      <c r="H34" s="60">
        <f t="shared" si="3"/>
        <v>0.39</v>
      </c>
      <c r="I34" s="60">
        <f t="shared" si="3"/>
        <v>0.39</v>
      </c>
      <c r="J34" s="60">
        <f t="shared" si="3"/>
        <v>0.39</v>
      </c>
      <c r="K34" s="60">
        <f t="shared" si="3"/>
        <v>0.39</v>
      </c>
      <c r="L34" s="60">
        <f t="shared" si="3"/>
        <v>0.39</v>
      </c>
      <c r="M34" s="60">
        <f t="shared" si="3"/>
        <v>0.39</v>
      </c>
      <c r="N34" s="60">
        <f t="shared" si="3"/>
        <v>0.39</v>
      </c>
      <c r="O34" s="60">
        <f t="shared" si="3"/>
        <v>0.39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474679.08799999999</v>
      </c>
      <c r="C2" s="49">
        <v>739000</v>
      </c>
      <c r="D2" s="49">
        <v>1225000</v>
      </c>
      <c r="E2" s="49">
        <v>1540000</v>
      </c>
      <c r="F2" s="49">
        <v>1553000</v>
      </c>
      <c r="G2" s="17">
        <f t="shared" ref="G2:G11" si="0">C2+D2+E2+F2</f>
        <v>5057000</v>
      </c>
      <c r="H2" s="17">
        <f t="shared" ref="H2:H11" si="1">(B2 + stillbirth*B2/(1000-stillbirth))/(1-abortion)</f>
        <v>555411.24569582019</v>
      </c>
      <c r="I2" s="17">
        <f t="shared" ref="I2:I11" si="2">G2-H2</f>
        <v>4501588.7543041799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480844.47639999999</v>
      </c>
      <c r="C3" s="50">
        <v>756000</v>
      </c>
      <c r="D3" s="50">
        <v>1257000</v>
      </c>
      <c r="E3" s="50">
        <v>1519000</v>
      </c>
      <c r="F3" s="50">
        <v>1575000</v>
      </c>
      <c r="G3" s="17">
        <f t="shared" si="0"/>
        <v>5107000</v>
      </c>
      <c r="H3" s="17">
        <f t="shared" si="1"/>
        <v>562625.22696866398</v>
      </c>
      <c r="I3" s="17">
        <f t="shared" si="2"/>
        <v>4544374.7730313363</v>
      </c>
    </row>
    <row r="4" spans="1:9" ht="15.75" customHeight="1" x14ac:dyDescent="0.25">
      <c r="A4" s="5">
        <f t="shared" si="3"/>
        <v>2023</v>
      </c>
      <c r="B4" s="49">
        <v>486852.17280000012</v>
      </c>
      <c r="C4" s="50">
        <v>774000</v>
      </c>
      <c r="D4" s="50">
        <v>1289000</v>
      </c>
      <c r="E4" s="50">
        <v>1498000</v>
      </c>
      <c r="F4" s="50">
        <v>1594000</v>
      </c>
      <c r="G4" s="17">
        <f t="shared" si="0"/>
        <v>5155000</v>
      </c>
      <c r="H4" s="17">
        <f t="shared" si="1"/>
        <v>569654.69640525803</v>
      </c>
      <c r="I4" s="17">
        <f t="shared" si="2"/>
        <v>4585345.303594742</v>
      </c>
    </row>
    <row r="5" spans="1:9" ht="15.75" customHeight="1" x14ac:dyDescent="0.25">
      <c r="A5" s="5">
        <f t="shared" si="3"/>
        <v>2024</v>
      </c>
      <c r="B5" s="49">
        <v>492631.71040000021</v>
      </c>
      <c r="C5" s="50">
        <v>792000</v>
      </c>
      <c r="D5" s="50">
        <v>1320000</v>
      </c>
      <c r="E5" s="50">
        <v>1477000</v>
      </c>
      <c r="F5" s="50">
        <v>1606000</v>
      </c>
      <c r="G5" s="17">
        <f t="shared" si="0"/>
        <v>5195000</v>
      </c>
      <c r="H5" s="17">
        <f t="shared" si="1"/>
        <v>576417.20239954337</v>
      </c>
      <c r="I5" s="17">
        <f t="shared" si="2"/>
        <v>4618582.7976004565</v>
      </c>
    </row>
    <row r="6" spans="1:9" ht="15.75" customHeight="1" x14ac:dyDescent="0.25">
      <c r="A6" s="5">
        <f t="shared" si="3"/>
        <v>2025</v>
      </c>
      <c r="B6" s="49">
        <v>498212.99</v>
      </c>
      <c r="C6" s="50">
        <v>809000</v>
      </c>
      <c r="D6" s="50">
        <v>1352000</v>
      </c>
      <c r="E6" s="50">
        <v>1457000</v>
      </c>
      <c r="F6" s="50">
        <v>1608000</v>
      </c>
      <c r="G6" s="17">
        <f t="shared" si="0"/>
        <v>5226000</v>
      </c>
      <c r="H6" s="17">
        <f t="shared" si="1"/>
        <v>582947.73120011389</v>
      </c>
      <c r="I6" s="17">
        <f t="shared" si="2"/>
        <v>4643052.2687998861</v>
      </c>
    </row>
    <row r="7" spans="1:9" ht="15.75" customHeight="1" x14ac:dyDescent="0.25">
      <c r="A7" s="5">
        <f t="shared" si="3"/>
        <v>2026</v>
      </c>
      <c r="B7" s="49">
        <v>503346.44819999998</v>
      </c>
      <c r="C7" s="50">
        <v>826000</v>
      </c>
      <c r="D7" s="50">
        <v>1382000</v>
      </c>
      <c r="E7" s="50">
        <v>1443000</v>
      </c>
      <c r="F7" s="50">
        <v>1602000</v>
      </c>
      <c r="G7" s="17">
        <f t="shared" si="0"/>
        <v>5253000</v>
      </c>
      <c r="H7" s="17">
        <f t="shared" si="1"/>
        <v>588954.27432718209</v>
      </c>
      <c r="I7" s="17">
        <f t="shared" si="2"/>
        <v>4664045.7256728178</v>
      </c>
    </row>
    <row r="8" spans="1:9" ht="15.75" customHeight="1" x14ac:dyDescent="0.25">
      <c r="A8" s="5">
        <f t="shared" si="3"/>
        <v>2027</v>
      </c>
      <c r="B8" s="49">
        <v>508262.75199999998</v>
      </c>
      <c r="C8" s="50">
        <v>842000</v>
      </c>
      <c r="D8" s="50">
        <v>1412000</v>
      </c>
      <c r="E8" s="50">
        <v>1430000</v>
      </c>
      <c r="F8" s="50">
        <v>1587000</v>
      </c>
      <c r="G8" s="17">
        <f t="shared" si="0"/>
        <v>5271000</v>
      </c>
      <c r="H8" s="17">
        <f t="shared" si="1"/>
        <v>594706.73001104628</v>
      </c>
      <c r="I8" s="17">
        <f t="shared" si="2"/>
        <v>4676293.2699889541</v>
      </c>
    </row>
    <row r="9" spans="1:9" ht="15.75" customHeight="1" x14ac:dyDescent="0.25">
      <c r="A9" s="5">
        <f t="shared" si="3"/>
        <v>2028</v>
      </c>
      <c r="B9" s="49">
        <v>512958.06920000009</v>
      </c>
      <c r="C9" s="50">
        <v>859000</v>
      </c>
      <c r="D9" s="50">
        <v>1442000</v>
      </c>
      <c r="E9" s="50">
        <v>1419000</v>
      </c>
      <c r="F9" s="50">
        <v>1565000</v>
      </c>
      <c r="G9" s="17">
        <f t="shared" si="0"/>
        <v>5285000</v>
      </c>
      <c r="H9" s="17">
        <f t="shared" si="1"/>
        <v>600200.61428131582</v>
      </c>
      <c r="I9" s="17">
        <f t="shared" si="2"/>
        <v>4684799.3857186846</v>
      </c>
    </row>
    <row r="10" spans="1:9" ht="15.75" customHeight="1" x14ac:dyDescent="0.25">
      <c r="A10" s="5">
        <f t="shared" si="3"/>
        <v>2029</v>
      </c>
      <c r="B10" s="49">
        <v>517428.56760000013</v>
      </c>
      <c r="C10" s="50">
        <v>876000</v>
      </c>
      <c r="D10" s="50">
        <v>1473000</v>
      </c>
      <c r="E10" s="50">
        <v>1410000</v>
      </c>
      <c r="F10" s="50">
        <v>1540000</v>
      </c>
      <c r="G10" s="17">
        <f t="shared" si="0"/>
        <v>5299000</v>
      </c>
      <c r="H10" s="17">
        <f t="shared" si="1"/>
        <v>605431.4431675995</v>
      </c>
      <c r="I10" s="17">
        <f t="shared" si="2"/>
        <v>4693568.5568324002</v>
      </c>
    </row>
    <row r="11" spans="1:9" ht="15.75" customHeight="1" x14ac:dyDescent="0.25">
      <c r="A11" s="5">
        <f t="shared" si="3"/>
        <v>2030</v>
      </c>
      <c r="B11" s="49">
        <v>521640.18199999997</v>
      </c>
      <c r="C11" s="50">
        <v>893000</v>
      </c>
      <c r="D11" s="50">
        <v>1506000</v>
      </c>
      <c r="E11" s="50">
        <v>1403000</v>
      </c>
      <c r="F11" s="50">
        <v>1516000</v>
      </c>
      <c r="G11" s="17">
        <f t="shared" si="0"/>
        <v>5318000</v>
      </c>
      <c r="H11" s="17">
        <f t="shared" si="1"/>
        <v>610359.35775121895</v>
      </c>
      <c r="I11" s="17">
        <f t="shared" si="2"/>
        <v>4707640.6422487814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7.7852531721108861E-3</v>
      </c>
    </row>
    <row r="4" spans="1:8" ht="15.75" customHeight="1" x14ac:dyDescent="0.25">
      <c r="B4" s="19" t="s">
        <v>69</v>
      </c>
      <c r="C4" s="101">
        <v>0.1104314088841564</v>
      </c>
    </row>
    <row r="5" spans="1:8" ht="15.75" customHeight="1" x14ac:dyDescent="0.25">
      <c r="B5" s="19" t="s">
        <v>70</v>
      </c>
      <c r="C5" s="101">
        <v>8.2541916573618035E-2</v>
      </c>
    </row>
    <row r="6" spans="1:8" ht="15.75" customHeight="1" x14ac:dyDescent="0.25">
      <c r="B6" s="19" t="s">
        <v>71</v>
      </c>
      <c r="C6" s="101">
        <v>0.329225287383837</v>
      </c>
    </row>
    <row r="7" spans="1:8" ht="15.75" customHeight="1" x14ac:dyDescent="0.25">
      <c r="B7" s="19" t="s">
        <v>72</v>
      </c>
      <c r="C7" s="101">
        <v>0.26604515066131029</v>
      </c>
    </row>
    <row r="8" spans="1:8" ht="15.75" customHeight="1" x14ac:dyDescent="0.25">
      <c r="B8" s="19" t="s">
        <v>73</v>
      </c>
      <c r="C8" s="101">
        <v>5.7428130468389543E-2</v>
      </c>
    </row>
    <row r="9" spans="1:8" ht="15.75" customHeight="1" x14ac:dyDescent="0.25">
      <c r="B9" s="19" t="s">
        <v>74</v>
      </c>
      <c r="C9" s="101">
        <v>7.7054891446840759E-2</v>
      </c>
    </row>
    <row r="10" spans="1:8" ht="15.75" customHeight="1" x14ac:dyDescent="0.25">
      <c r="B10" s="19" t="s">
        <v>75</v>
      </c>
      <c r="C10" s="101">
        <v>6.9487961409737009E-2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0.1411614083333346</v>
      </c>
      <c r="D14" s="55">
        <v>0.1411614083333346</v>
      </c>
      <c r="E14" s="55">
        <v>0.1411614083333346</v>
      </c>
      <c r="F14" s="55">
        <v>0.1411614083333346</v>
      </c>
    </row>
    <row r="15" spans="1:8" ht="15.75" customHeight="1" x14ac:dyDescent="0.25">
      <c r="B15" s="19" t="s">
        <v>82</v>
      </c>
      <c r="C15" s="101">
        <v>0.28530315613016788</v>
      </c>
      <c r="D15" s="101">
        <v>0.28530315613016788</v>
      </c>
      <c r="E15" s="101">
        <v>0.28530315613016788</v>
      </c>
      <c r="F15" s="101">
        <v>0.28530315613016788</v>
      </c>
    </row>
    <row r="16" spans="1:8" ht="15.75" customHeight="1" x14ac:dyDescent="0.25">
      <c r="B16" s="19" t="s">
        <v>83</v>
      </c>
      <c r="C16" s="101">
        <v>4.9767444864802342E-2</v>
      </c>
      <c r="D16" s="101">
        <v>4.9767444864802342E-2</v>
      </c>
      <c r="E16" s="101">
        <v>4.9767444864802342E-2</v>
      </c>
      <c r="F16" s="101">
        <v>4.9767444864802342E-2</v>
      </c>
    </row>
    <row r="17" spans="1:8" ht="15.75" customHeight="1" x14ac:dyDescent="0.25">
      <c r="B17" s="19" t="s">
        <v>84</v>
      </c>
      <c r="C17" s="101">
        <v>1.474318698928976E-2</v>
      </c>
      <c r="D17" s="101">
        <v>1.474318698928976E-2</v>
      </c>
      <c r="E17" s="101">
        <v>1.474318698928976E-2</v>
      </c>
      <c r="F17" s="101">
        <v>1.474318698928976E-2</v>
      </c>
    </row>
    <row r="18" spans="1:8" ht="15.75" customHeight="1" x14ac:dyDescent="0.25">
      <c r="B18" s="19" t="s">
        <v>85</v>
      </c>
      <c r="C18" s="101">
        <v>0.1124527559377605</v>
      </c>
      <c r="D18" s="101">
        <v>0.1124527559377605</v>
      </c>
      <c r="E18" s="101">
        <v>0.1124527559377605</v>
      </c>
      <c r="F18" s="101">
        <v>0.1124527559377605</v>
      </c>
    </row>
    <row r="19" spans="1:8" ht="15.75" customHeight="1" x14ac:dyDescent="0.25">
      <c r="B19" s="19" t="s">
        <v>86</v>
      </c>
      <c r="C19" s="101">
        <v>2.0674636611074038E-2</v>
      </c>
      <c r="D19" s="101">
        <v>2.0674636611074038E-2</v>
      </c>
      <c r="E19" s="101">
        <v>2.0674636611074038E-2</v>
      </c>
      <c r="F19" s="101">
        <v>2.0674636611074038E-2</v>
      </c>
    </row>
    <row r="20" spans="1:8" ht="15.75" customHeight="1" x14ac:dyDescent="0.25">
      <c r="B20" s="19" t="s">
        <v>87</v>
      </c>
      <c r="C20" s="101">
        <v>6.3827950246060527E-2</v>
      </c>
      <c r="D20" s="101">
        <v>6.3827950246060527E-2</v>
      </c>
      <c r="E20" s="101">
        <v>6.3827950246060527E-2</v>
      </c>
      <c r="F20" s="101">
        <v>6.3827950246060527E-2</v>
      </c>
    </row>
    <row r="21" spans="1:8" ht="15.75" customHeight="1" x14ac:dyDescent="0.25">
      <c r="B21" s="19" t="s">
        <v>88</v>
      </c>
      <c r="C21" s="101">
        <v>8.4727492538722776E-2</v>
      </c>
      <c r="D21" s="101">
        <v>8.4727492538722776E-2</v>
      </c>
      <c r="E21" s="101">
        <v>8.4727492538722776E-2</v>
      </c>
      <c r="F21" s="101">
        <v>8.4727492538722776E-2</v>
      </c>
    </row>
    <row r="22" spans="1:8" ht="15.75" customHeight="1" x14ac:dyDescent="0.25">
      <c r="B22" s="19" t="s">
        <v>89</v>
      </c>
      <c r="C22" s="101">
        <v>0.22734196834878759</v>
      </c>
      <c r="D22" s="101">
        <v>0.22734196834878759</v>
      </c>
      <c r="E22" s="101">
        <v>0.22734196834878759</v>
      </c>
      <c r="F22" s="101">
        <v>0.22734196834878759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4.6824316999999997E-2</v>
      </c>
    </row>
    <row r="27" spans="1:8" ht="15.75" customHeight="1" x14ac:dyDescent="0.25">
      <c r="B27" s="19" t="s">
        <v>92</v>
      </c>
      <c r="C27" s="101">
        <v>2.7708330999999999E-2</v>
      </c>
    </row>
    <row r="28" spans="1:8" ht="15.75" customHeight="1" x14ac:dyDescent="0.25">
      <c r="B28" s="19" t="s">
        <v>93</v>
      </c>
      <c r="C28" s="101">
        <v>0.192682248</v>
      </c>
    </row>
    <row r="29" spans="1:8" ht="15.75" customHeight="1" x14ac:dyDescent="0.25">
      <c r="B29" s="19" t="s">
        <v>94</v>
      </c>
      <c r="C29" s="101">
        <v>0.15047112300000001</v>
      </c>
    </row>
    <row r="30" spans="1:8" ht="15.75" customHeight="1" x14ac:dyDescent="0.25">
      <c r="B30" s="19" t="s">
        <v>95</v>
      </c>
      <c r="C30" s="101">
        <v>4.9998465000000013E-2</v>
      </c>
    </row>
    <row r="31" spans="1:8" ht="15.75" customHeight="1" x14ac:dyDescent="0.25">
      <c r="B31" s="19" t="s">
        <v>96</v>
      </c>
      <c r="C31" s="101">
        <v>3.0442113E-2</v>
      </c>
    </row>
    <row r="32" spans="1:8" ht="15.75" customHeight="1" x14ac:dyDescent="0.25">
      <c r="B32" s="19" t="s">
        <v>97</v>
      </c>
      <c r="C32" s="101">
        <v>8.5598303000000001E-2</v>
      </c>
    </row>
    <row r="33" spans="2:3" ht="15.75" customHeight="1" x14ac:dyDescent="0.25">
      <c r="B33" s="19" t="s">
        <v>98</v>
      </c>
      <c r="C33" s="101">
        <v>0.16741062000000001</v>
      </c>
    </row>
    <row r="34" spans="2:3" ht="15.75" customHeight="1" x14ac:dyDescent="0.25">
      <c r="B34" s="19" t="s">
        <v>99</v>
      </c>
      <c r="C34" s="101">
        <v>0.24886448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0.57247399084166029</v>
      </c>
      <c r="D2" s="52">
        <f>IFERROR(1-_xlfn.NORM.DIST(_xlfn.NORM.INV(SUM(D4:D5), 0, 1) + 1, 0, 1, TRUE), "")</f>
        <v>0.57247399084166029</v>
      </c>
      <c r="E2" s="52">
        <f>IFERROR(1-_xlfn.NORM.DIST(_xlfn.NORM.INV(SUM(E4:E5), 0, 1) + 1, 0, 1, TRUE), "")</f>
        <v>0.47509587476377879</v>
      </c>
      <c r="F2" s="52">
        <f>IFERROR(1-_xlfn.NORM.DIST(_xlfn.NORM.INV(SUM(F4:F5), 0, 1) + 1, 0, 1, TRUE), "")</f>
        <v>0.30851661402352026</v>
      </c>
      <c r="G2" s="52">
        <f>IFERROR(1-_xlfn.NORM.DIST(_xlfn.NORM.INV(SUM(G4:G5), 0, 1) + 1, 0, 1, TRUE), "")</f>
        <v>0.27250172408455453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0.30905727751657031</v>
      </c>
      <c r="D3" s="52">
        <f>IFERROR(_xlfn.NORM.DIST(_xlfn.NORM.INV(SUM(D4:D5), 0, 1) + 1, 0, 1, TRUE) - SUM(D4:D5), "")</f>
        <v>0.30905727751657031</v>
      </c>
      <c r="E3" s="52">
        <f>IFERROR(_xlfn.NORM.DIST(_xlfn.NORM.INV(SUM(E4:E5), 0, 1) + 1, 0, 1, TRUE) - SUM(E4:E5), "")</f>
        <v>0.35066215773696513</v>
      </c>
      <c r="F3" s="52">
        <f>IFERROR(_xlfn.NORM.DIST(_xlfn.NORM.INV(SUM(F4:F5), 0, 1) + 1, 0, 1, TRUE) - SUM(F4:F5), "")</f>
        <v>0.38292492192618677</v>
      </c>
      <c r="G3" s="52">
        <f>IFERROR(_xlfn.NORM.DIST(_xlfn.NORM.INV(SUM(G4:G5), 0, 1) + 1, 0, 1, TRUE) - SUM(G4:G5), "")</f>
        <v>0.3809793272412435</v>
      </c>
    </row>
    <row r="4" spans="1:15" ht="15.75" customHeight="1" x14ac:dyDescent="0.25">
      <c r="B4" s="5" t="s">
        <v>104</v>
      </c>
      <c r="C4" s="45">
        <v>4.7722220420837402E-2</v>
      </c>
      <c r="D4" s="53">
        <v>4.7722220420837402E-2</v>
      </c>
      <c r="E4" s="53">
        <v>8.7833374738693196E-2</v>
      </c>
      <c r="F4" s="53">
        <v>0.153509572148323</v>
      </c>
      <c r="G4" s="53">
        <v>0.150337129831314</v>
      </c>
    </row>
    <row r="5" spans="1:15" ht="15.75" customHeight="1" x14ac:dyDescent="0.25">
      <c r="B5" s="5" t="s">
        <v>105</v>
      </c>
      <c r="C5" s="45">
        <v>7.0746511220931993E-2</v>
      </c>
      <c r="D5" s="53">
        <v>7.0746511220931993E-2</v>
      </c>
      <c r="E5" s="53">
        <v>8.6408592760562897E-2</v>
      </c>
      <c r="F5" s="53">
        <v>0.15504889190196999</v>
      </c>
      <c r="G5" s="53">
        <v>0.19618181884288799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0.43845576271655351</v>
      </c>
      <c r="D8" s="52">
        <f>IFERROR(1-_xlfn.NORM.DIST(_xlfn.NORM.INV(SUM(D10:D11), 0, 1) + 1, 0, 1, TRUE), "")</f>
        <v>0.43845576271655351</v>
      </c>
      <c r="E8" s="52">
        <f>IFERROR(1-_xlfn.NORM.DIST(_xlfn.NORM.INV(SUM(E10:E11), 0, 1) + 1, 0, 1, TRUE), "")</f>
        <v>0.34813286014513767</v>
      </c>
      <c r="F8" s="52">
        <f>IFERROR(1-_xlfn.NORM.DIST(_xlfn.NORM.INV(SUM(F10:F11), 0, 1) + 1, 0, 1, TRUE), "")</f>
        <v>0.40303041241498305</v>
      </c>
      <c r="G8" s="52">
        <f>IFERROR(1-_xlfn.NORM.DIST(_xlfn.NORM.INV(SUM(G10:G11), 0, 1) + 1, 0, 1, TRUE), "")</f>
        <v>0.41271241511184598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0.36252075955031093</v>
      </c>
      <c r="D9" s="52">
        <f>IFERROR(_xlfn.NORM.DIST(_xlfn.NORM.INV(SUM(D10:D11), 0, 1) + 1, 0, 1, TRUE) - SUM(D10:D11), "")</f>
        <v>0.36252075955031093</v>
      </c>
      <c r="E9" s="52">
        <f>IFERROR(_xlfn.NORM.DIST(_xlfn.NORM.INV(SUM(E10:E11), 0, 1) + 1, 0, 1, TRUE) - SUM(E10:E11), "")</f>
        <v>0.38081490598006429</v>
      </c>
      <c r="F9" s="52">
        <f>IFERROR(_xlfn.NORM.DIST(_xlfn.NORM.INV(SUM(F10:F11), 0, 1) + 1, 0, 1, TRUE) - SUM(F10:F11), "")</f>
        <v>0.37169177629618316</v>
      </c>
      <c r="G9" s="52">
        <f>IFERROR(_xlfn.NORM.DIST(_xlfn.NORM.INV(SUM(G10:G11), 0, 1) + 1, 0, 1, TRUE) - SUM(G10:G11), "")</f>
        <v>0.3694234365693867</v>
      </c>
    </row>
    <row r="10" spans="1:15" ht="15.75" customHeight="1" x14ac:dyDescent="0.25">
      <c r="B10" s="5" t="s">
        <v>109</v>
      </c>
      <c r="C10" s="45">
        <v>0.112000979483128</v>
      </c>
      <c r="D10" s="53">
        <v>0.112000979483128</v>
      </c>
      <c r="E10" s="53">
        <v>0.15598480403423301</v>
      </c>
      <c r="F10" s="53">
        <v>0.12805274128913899</v>
      </c>
      <c r="G10" s="53">
        <v>0.123658940196037</v>
      </c>
    </row>
    <row r="11" spans="1:15" ht="15.75" customHeight="1" x14ac:dyDescent="0.25">
      <c r="B11" s="5" t="s">
        <v>110</v>
      </c>
      <c r="C11" s="45">
        <v>8.7022498250007588E-2</v>
      </c>
      <c r="D11" s="53">
        <v>8.7022498250007588E-2</v>
      </c>
      <c r="E11" s="53">
        <v>0.11506742984056501</v>
      </c>
      <c r="F11" s="53">
        <v>9.722506999969481E-2</v>
      </c>
      <c r="G11" s="53">
        <v>9.4205208122730311E-2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0.70880744425000008</v>
      </c>
      <c r="D14" s="54">
        <v>0.70567137949000003</v>
      </c>
      <c r="E14" s="54">
        <v>0.70567137949000003</v>
      </c>
      <c r="F14" s="54">
        <v>0.64978975866400002</v>
      </c>
      <c r="G14" s="54">
        <v>0.64978975866400002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0.33500000000000002</v>
      </c>
      <c r="M14" s="55">
        <v>0.33500000000000002</v>
      </c>
      <c r="N14" s="55">
        <v>0.33500000000000002</v>
      </c>
      <c r="O14" s="55">
        <v>0.33500000000000002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0.37267465161543234</v>
      </c>
      <c r="D15" s="52">
        <f t="shared" si="0"/>
        <v>0.37102578089411375</v>
      </c>
      <c r="E15" s="52">
        <f t="shared" si="0"/>
        <v>0.37102578089411375</v>
      </c>
      <c r="F15" s="52">
        <f t="shared" si="0"/>
        <v>0.34164450994108198</v>
      </c>
      <c r="G15" s="52">
        <f t="shared" si="0"/>
        <v>0.34164450994108198</v>
      </c>
      <c r="H15" s="52">
        <f t="shared" si="0"/>
        <v>0.20452725300000002</v>
      </c>
      <c r="I15" s="52">
        <f t="shared" si="0"/>
        <v>0.20452725300000002</v>
      </c>
      <c r="J15" s="52">
        <f t="shared" si="0"/>
        <v>0.20452725300000002</v>
      </c>
      <c r="K15" s="52">
        <f t="shared" si="0"/>
        <v>0.20452725300000002</v>
      </c>
      <c r="L15" s="52">
        <f t="shared" si="0"/>
        <v>0.17613529500000003</v>
      </c>
      <c r="M15" s="52">
        <f t="shared" si="0"/>
        <v>0.17613529500000003</v>
      </c>
      <c r="N15" s="52">
        <f t="shared" si="0"/>
        <v>0.17613529500000003</v>
      </c>
      <c r="O15" s="52">
        <f t="shared" si="0"/>
        <v>0.17613529500000003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0.61253422498703003</v>
      </c>
      <c r="D2" s="53">
        <v>0.41144239999999999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0.22120472788810699</v>
      </c>
      <c r="D3" s="53">
        <v>0.29817589999999999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7.4739158153533894E-2</v>
      </c>
      <c r="D4" s="53">
        <v>0.23041149999999999</v>
      </c>
      <c r="E4" s="53">
        <v>0.90059196949005094</v>
      </c>
      <c r="F4" s="53">
        <v>0.61897557973861705</v>
      </c>
      <c r="G4" s="53">
        <v>0</v>
      </c>
    </row>
    <row r="5" spans="1:7" x14ac:dyDescent="0.25">
      <c r="B5" s="3" t="s">
        <v>122</v>
      </c>
      <c r="C5" s="52">
        <v>9.1521896421909291E-2</v>
      </c>
      <c r="D5" s="52">
        <v>5.9970259666442899E-2</v>
      </c>
      <c r="E5" s="52">
        <f>1-SUM(E2:E4)</f>
        <v>9.9408030509949064E-2</v>
      </c>
      <c r="F5" s="52">
        <f>1-SUM(F2:F4)</f>
        <v>0.38102442026138295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2023-01-17T02:13:54Z</dcterms:modified>
</cp:coreProperties>
</file>