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DDE3C406-F42D-49BA-ABEE-54FCC97C5621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<sst xmlns="http://schemas.openxmlformats.org/spreadsheetml/2006/main" count="2089" uniqueCount="342">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</sst>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1910420.984375</v>
      </c>
    </row>
    <row r="8" spans="1:3" ht="15" customHeight="1" x14ac:dyDescent="0.25">
      <c r="B8" s="5" t="s">
        <v>8</v>
      </c>
      <c r="C8" s="44">
        <v>0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1</v>
      </c>
    </row>
    <row r="11" spans="1:3" ht="15" customHeight="1" x14ac:dyDescent="0.25">
      <c r="B11" s="5" t="s">
        <v>11</v>
      </c>
      <c r="C11" s="44">
        <v>0.95299999999999996</v>
      </c>
    </row>
    <row r="12" spans="1:3" ht="15" customHeight="1" x14ac:dyDescent="0.25">
      <c r="B12" s="5" t="s">
        <v>12</v>
      </c>
      <c r="C12" s="44">
        <v>0.81200000000000006</v>
      </c>
    </row>
    <row r="13" spans="1:3" ht="15" customHeight="1" x14ac:dyDescent="0.25">
      <c r="B13" s="5" t="s">
        <v>13</v>
      </c>
      <c r="C13" s="44">
        <v>0.20399999999999999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8.2799999999999999E-2</v>
      </c>
    </row>
    <row r="24" spans="1:3" ht="15" customHeight="1" x14ac:dyDescent="0.25">
      <c r="B24" s="15" t="s">
        <v>22</v>
      </c>
      <c r="C24" s="45">
        <v>0.55079999999999996</v>
      </c>
    </row>
    <row r="25" spans="1:3" ht="15" customHeight="1" x14ac:dyDescent="0.25">
      <c r="B25" s="15" t="s">
        <v>23</v>
      </c>
      <c r="C25" s="45">
        <v>0.33279999999999998</v>
      </c>
    </row>
    <row r="26" spans="1:3" ht="15" customHeight="1" x14ac:dyDescent="0.25">
      <c r="B26" s="15" t="s">
        <v>24</v>
      </c>
      <c r="C26" s="45">
        <v>3.3599999999999998E-2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0.36614845468901602</v>
      </c>
    </row>
    <row r="30" spans="1:3" ht="14.25" customHeight="1" x14ac:dyDescent="0.25">
      <c r="B30" s="25" t="s">
        <v>27</v>
      </c>
      <c r="C30" s="100">
        <v>8.5813228127425589E-2</v>
      </c>
    </row>
    <row r="31" spans="1:3" ht="14.25" customHeight="1" x14ac:dyDescent="0.25">
      <c r="B31" s="25" t="s">
        <v>28</v>
      </c>
      <c r="C31" s="100">
        <v>0.11932858169641999</v>
      </c>
    </row>
    <row r="32" spans="1:3" ht="14.25" customHeight="1" x14ac:dyDescent="0.25">
      <c r="B32" s="25" t="s">
        <v>29</v>
      </c>
      <c r="C32" s="100">
        <v>0.42870973548713898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4.6644885199815</v>
      </c>
    </row>
    <row r="38" spans="1:5" ht="15" customHeight="1" x14ac:dyDescent="0.25">
      <c r="B38" s="11" t="s">
        <v>34</v>
      </c>
      <c r="C38" s="43">
        <v>9.3023771690621295</v>
      </c>
      <c r="D38" s="12"/>
      <c r="E38" s="13"/>
    </row>
    <row r="39" spans="1:5" ht="15" customHeight="1" x14ac:dyDescent="0.25">
      <c r="B39" s="11" t="s">
        <v>35</v>
      </c>
      <c r="C39" s="43">
        <v>10.45053003804</v>
      </c>
      <c r="D39" s="12"/>
      <c r="E39" s="12"/>
    </row>
    <row r="40" spans="1:5" ht="15" customHeight="1" x14ac:dyDescent="0.25">
      <c r="B40" s="11" t="s">
        <v>36</v>
      </c>
      <c r="C40" s="99">
        <v>0.1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5.3894673099999997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1.9697900000000001E-2</v>
      </c>
      <c r="D45" s="12"/>
    </row>
    <row r="46" spans="1:5" ht="15.75" customHeight="1" x14ac:dyDescent="0.25">
      <c r="B46" s="11" t="s">
        <v>41</v>
      </c>
      <c r="C46" s="45">
        <v>6.8631880000000006E-2</v>
      </c>
      <c r="D46" s="12"/>
    </row>
    <row r="47" spans="1:5" ht="15.75" customHeight="1" x14ac:dyDescent="0.25">
      <c r="B47" s="11" t="s">
        <v>42</v>
      </c>
      <c r="C47" s="45">
        <v>0.1458518</v>
      </c>
      <c r="D47" s="12"/>
      <c r="E47" s="13"/>
    </row>
    <row r="48" spans="1:5" ht="15" customHeight="1" x14ac:dyDescent="0.25">
      <c r="B48" s="11" t="s">
        <v>43</v>
      </c>
      <c r="C48" s="46">
        <v>0.76581842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2.8</v>
      </c>
      <c r="D51" s="12"/>
    </row>
    <row r="52" spans="1:4" ht="15" customHeight="1" x14ac:dyDescent="0.25">
      <c r="B52" s="11" t="s">
        <v>46</v>
      </c>
      <c r="C52" s="48">
        <v>2.8</v>
      </c>
    </row>
    <row r="53" spans="1:4" ht="15.75" customHeight="1" x14ac:dyDescent="0.25">
      <c r="B53" s="11" t="s">
        <v>47</v>
      </c>
      <c r="C53" s="48">
        <v>2.8</v>
      </c>
    </row>
    <row r="54" spans="1:4" ht="15.75" customHeight="1" x14ac:dyDescent="0.25">
      <c r="B54" s="11" t="s">
        <v>48</v>
      </c>
      <c r="C54" s="48">
        <v>2.8</v>
      </c>
    </row>
    <row r="55" spans="1:4" ht="15.75" customHeight="1" x14ac:dyDescent="0.25">
      <c r="B55" s="11" t="s">
        <v>49</v>
      </c>
      <c r="C55" s="48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1.6428571428571431E-2</v>
      </c>
    </row>
    <row r="59" spans="1:4" ht="15.75" customHeight="1" x14ac:dyDescent="0.25">
      <c r="B59" s="11" t="s">
        <v>52</v>
      </c>
      <c r="C59" s="44">
        <v>0.6155790000000001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5.4285702999999901E-2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0.73862471376119598</v>
      </c>
      <c r="C2" s="57">
        <v>0.95</v>
      </c>
      <c r="D2" s="58">
        <v>80.804937896193479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40.390616174846663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771.46935681029902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5.3213875403317896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0.22888279917745999</v>
      </c>
      <c r="C10" s="57">
        <v>0.95</v>
      </c>
      <c r="D10" s="58">
        <v>13.522915618642561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0.22888279917745999</v>
      </c>
      <c r="C11" s="57">
        <v>0.95</v>
      </c>
      <c r="D11" s="58">
        <v>13.522915618642561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0.22888279917745999</v>
      </c>
      <c r="C12" s="57">
        <v>0.95</v>
      </c>
      <c r="D12" s="58">
        <v>13.522915618642561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0.22888279917745999</v>
      </c>
      <c r="C13" s="57">
        <v>0.95</v>
      </c>
      <c r="D13" s="58">
        <v>13.522915618642561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0.22888279917745999</v>
      </c>
      <c r="C14" s="57">
        <v>0.95</v>
      </c>
      <c r="D14" s="58">
        <v>13.522915618642561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0.22888279917745999</v>
      </c>
      <c r="C15" s="57">
        <v>0.95</v>
      </c>
      <c r="D15" s="58">
        <v>13.522915618642561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1.2296814185379119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</v>
      </c>
      <c r="C18" s="57">
        <v>0.95</v>
      </c>
      <c r="D18" s="58">
        <v>17.67766297845575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17.67766297845575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0.99338680000000001</v>
      </c>
      <c r="C21" s="57">
        <v>0.95</v>
      </c>
      <c r="D21" s="58">
        <v>60.730148203505237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23.604022972406518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4.5985477715053404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0.25110732191719998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0.17851428668772101</v>
      </c>
      <c r="C27" s="57">
        <v>0.95</v>
      </c>
      <c r="D27" s="58">
        <v>19.08390202702364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0.97873701678292901</v>
      </c>
      <c r="C29" s="57">
        <v>0.95</v>
      </c>
      <c r="D29" s="58">
        <v>165.62974913682319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1.20038967895152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0.25818420409999998</v>
      </c>
      <c r="C32" s="57">
        <v>0.95</v>
      </c>
      <c r="D32" s="58">
        <v>2.6928411357214559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0.66691672801971391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2.0061220772807462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0.80828781962054908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204</v>
      </c>
      <c r="B3" s="21">
        <f>frac_mam_1month * 2.6</f>
        <v>0.22800342291593542</v>
      </c>
      <c r="C3" s="21">
        <f>frac_mam_1_5months * 2.6</f>
        <v>0.22800342291593542</v>
      </c>
      <c r="D3" s="21">
        <f>frac_mam_6_11months * 2.6</f>
        <v>4.8760762810707223E-2</v>
      </c>
      <c r="E3" s="21">
        <f>frac_mam_12_23months * 2.6</f>
        <v>4.4592105969786702E-2</v>
      </c>
      <c r="F3" s="21">
        <f>frac_mam_24_59months * 2.6</f>
        <v>3.189896550029514E-2</v>
      </c>
    </row>
    <row r="4" spans="1:6" ht="15.75" customHeight="1" x14ac:dyDescent="0.25">
      <c r="A4" s="3" t="s">
        <v>205</v>
      </c>
      <c r="B4" s="21">
        <f>frac_sam_1month * 2.6</f>
        <v>0.126932194083929</v>
      </c>
      <c r="C4" s="21">
        <f>frac_sam_1_5months * 2.6</f>
        <v>0.126932194083929</v>
      </c>
      <c r="D4" s="21">
        <f>frac_sam_6_11months * 2.6</f>
        <v>2.4820344708859961E-2</v>
      </c>
      <c r="E4" s="21">
        <f>frac_sam_12_23months * 2.6</f>
        <v>2.2428401559591297E-2</v>
      </c>
      <c r="F4" s="21">
        <f>frac_sam_24_59months * 2.6</f>
        <v>1.5295980032533459E-2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</v>
      </c>
      <c r="E2" s="62">
        <f>food_insecure</f>
        <v>0</v>
      </c>
      <c r="F2" s="62">
        <f>food_insecure</f>
        <v>0</v>
      </c>
      <c r="G2" s="62">
        <f>food_insecure</f>
        <v>0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</v>
      </c>
      <c r="F5" s="62">
        <f>food_insecure</f>
        <v>0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4.6000000000000006E-2</v>
      </c>
      <c r="D7" s="62">
        <f>diarrhoea_1_5mo*frac_diarrhea_severe</f>
        <v>4.6000000000000006E-2</v>
      </c>
      <c r="E7" s="62">
        <f>diarrhoea_6_11mo*frac_diarrhea_severe</f>
        <v>4.6000000000000006E-2</v>
      </c>
      <c r="F7" s="62">
        <f>diarrhoea_12_23mo*frac_diarrhea_severe</f>
        <v>4.6000000000000006E-2</v>
      </c>
      <c r="G7" s="62">
        <f>diarrhoea_24_59mo*frac_diarrhea_severe</f>
        <v>4.6000000000000006E-2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</v>
      </c>
      <c r="F8" s="62">
        <f>food_insecure</f>
        <v>0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</v>
      </c>
      <c r="F9" s="62">
        <f>food_insecure</f>
        <v>0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0.81200000000000006</v>
      </c>
      <c r="E10" s="62">
        <f>IF(ISBLANK(comm_deliv), frac_children_health_facility,1)</f>
        <v>0.81200000000000006</v>
      </c>
      <c r="F10" s="62">
        <f>IF(ISBLANK(comm_deliv), frac_children_health_facility,1)</f>
        <v>0.81200000000000006</v>
      </c>
      <c r="G10" s="62">
        <f>IF(ISBLANK(comm_deliv), frac_children_health_facility,1)</f>
        <v>0.81200000000000006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4.6000000000000006E-2</v>
      </c>
      <c r="D12" s="62">
        <f>diarrhoea_1_5mo*frac_diarrhea_severe</f>
        <v>4.6000000000000006E-2</v>
      </c>
      <c r="E12" s="62">
        <f>diarrhoea_6_11mo*frac_diarrhea_severe</f>
        <v>4.6000000000000006E-2</v>
      </c>
      <c r="F12" s="62">
        <f>diarrhoea_12_23mo*frac_diarrhea_severe</f>
        <v>4.6000000000000006E-2</v>
      </c>
      <c r="G12" s="62">
        <f>diarrhoea_24_59mo*frac_diarrhea_severe</f>
        <v>4.6000000000000006E-2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</v>
      </c>
      <c r="I15" s="62">
        <f>food_insecure</f>
        <v>0</v>
      </c>
      <c r="J15" s="62">
        <f>food_insecure</f>
        <v>0</v>
      </c>
      <c r="K15" s="62">
        <f>food_insecure</f>
        <v>0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0.95299999999999996</v>
      </c>
      <c r="I18" s="62">
        <f>frac_PW_health_facility</f>
        <v>0.95299999999999996</v>
      </c>
      <c r="J18" s="62">
        <f>frac_PW_health_facility</f>
        <v>0.95299999999999996</v>
      </c>
      <c r="K18" s="62">
        <f>frac_PW_health_facility</f>
        <v>0.95299999999999996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0.20399999999999999</v>
      </c>
      <c r="M24" s="62">
        <f>famplan_unmet_need</f>
        <v>0.20399999999999999</v>
      </c>
      <c r="N24" s="62">
        <f>famplan_unmet_need</f>
        <v>0.20399999999999999</v>
      </c>
      <c r="O24" s="62">
        <f>famplan_unmet_need</f>
        <v>0.20399999999999999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</v>
      </c>
      <c r="M25" s="62">
        <f>(1-food_insecure)*(0.49)+food_insecure*(0.7)</f>
        <v>0.49</v>
      </c>
      <c r="N25" s="62">
        <f>(1-food_insecure)*(0.49)+food_insecure*(0.7)</f>
        <v>0.49</v>
      </c>
      <c r="O25" s="62">
        <f>(1-food_insecure)*(0.49)+food_insecure*(0.7)</f>
        <v>0.49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0</v>
      </c>
      <c r="M26" s="62">
        <f>(1-food_insecure)*(0.21)+food_insecure*(0.3)</f>
        <v>0.21</v>
      </c>
      <c r="N26" s="62">
        <f>(1-food_insecure)*(0.21)+food_insecure*(0.3)</f>
        <v>0.21</v>
      </c>
      <c r="O26" s="62">
        <f>(1-food_insecure)*(0.21)+food_insecure*(0.3)</f>
        <v>0.21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0</v>
      </c>
      <c r="M27" s="62">
        <f>(1-food_insecure)*(0.3)</f>
        <v>0.3</v>
      </c>
      <c r="N27" s="62">
        <f>(1-food_insecure)*(0.3)</f>
        <v>0.3</v>
      </c>
      <c r="O27" s="62">
        <f>(1-food_insecure)*(0.3)</f>
        <v>0.3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1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341528.94760000001</v>
      </c>
      <c r="C2" s="50">
        <v>584000</v>
      </c>
      <c r="D2" s="50">
        <v>1228000</v>
      </c>
      <c r="E2" s="50">
        <v>1559000</v>
      </c>
      <c r="F2" s="50">
        <v>1187000</v>
      </c>
      <c r="G2" s="17">
        <f t="shared" ref="G2:G16" si="0">C2+D2+E2+F2</f>
        <v>4558000</v>
      </c>
      <c r="H2" s="17">
        <f t="shared" ref="H2:H40" si="1">(B2 + stillbirth*B2/(1000-stillbirth))/(1-abortion)</f>
        <v>390204.06889170263</v>
      </c>
      <c r="I2" s="17">
        <f t="shared" ref="I2:I40" si="2">G2-H2</f>
        <v>4167795.9311082973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335671.64820000011</v>
      </c>
      <c r="C3" s="50">
        <v>627000</v>
      </c>
      <c r="D3" s="50">
        <v>1173000</v>
      </c>
      <c r="E3" s="50">
        <v>1587000</v>
      </c>
      <c r="F3" s="50">
        <v>1198000</v>
      </c>
      <c r="G3" s="17">
        <f t="shared" si="0"/>
        <v>4585000</v>
      </c>
      <c r="H3" s="17">
        <f t="shared" si="1"/>
        <v>383511.9800522122</v>
      </c>
      <c r="I3" s="17">
        <f t="shared" si="2"/>
        <v>4201488.0199477877</v>
      </c>
    </row>
    <row r="4" spans="1:9" ht="15.75" customHeight="1" x14ac:dyDescent="0.25">
      <c r="A4" s="5">
        <f t="shared" si="3"/>
        <v>2023</v>
      </c>
      <c r="B4" s="49">
        <v>329550.55920000008</v>
      </c>
      <c r="C4" s="50">
        <v>677000</v>
      </c>
      <c r="D4" s="50">
        <v>1127000</v>
      </c>
      <c r="E4" s="50">
        <v>1603000</v>
      </c>
      <c r="F4" s="50">
        <v>1210000</v>
      </c>
      <c r="G4" s="17">
        <f t="shared" si="0"/>
        <v>4617000</v>
      </c>
      <c r="H4" s="17">
        <f t="shared" si="1"/>
        <v>376518.50599786744</v>
      </c>
      <c r="I4" s="17">
        <f t="shared" si="2"/>
        <v>4240481.4940021327</v>
      </c>
    </row>
    <row r="5" spans="1:9" ht="15.75" customHeight="1" x14ac:dyDescent="0.25">
      <c r="A5" s="5">
        <f t="shared" si="3"/>
        <v>2024</v>
      </c>
      <c r="B5" s="49">
        <v>323174.17300000013</v>
      </c>
      <c r="C5" s="50">
        <v>729000</v>
      </c>
      <c r="D5" s="50">
        <v>1098000</v>
      </c>
      <c r="E5" s="50">
        <v>1602000</v>
      </c>
      <c r="F5" s="50">
        <v>1229000</v>
      </c>
      <c r="G5" s="17">
        <f t="shared" si="0"/>
        <v>4658000</v>
      </c>
      <c r="H5" s="17">
        <f t="shared" si="1"/>
        <v>369233.34947585297</v>
      </c>
      <c r="I5" s="17">
        <f t="shared" si="2"/>
        <v>4288766.6505241469</v>
      </c>
    </row>
    <row r="6" spans="1:9" ht="15.75" customHeight="1" x14ac:dyDescent="0.25">
      <c r="A6" s="5">
        <f t="shared" si="3"/>
        <v>2025</v>
      </c>
      <c r="B6" s="49">
        <v>316550.98200000002</v>
      </c>
      <c r="C6" s="50">
        <v>779000</v>
      </c>
      <c r="D6" s="50">
        <v>1091000</v>
      </c>
      <c r="E6" s="50">
        <v>1582000</v>
      </c>
      <c r="F6" s="50">
        <v>1260000</v>
      </c>
      <c r="G6" s="17">
        <f t="shared" si="0"/>
        <v>4712000</v>
      </c>
      <c r="H6" s="17">
        <f t="shared" si="1"/>
        <v>361666.2132333527</v>
      </c>
      <c r="I6" s="17">
        <f t="shared" si="2"/>
        <v>4350333.7867666474</v>
      </c>
    </row>
    <row r="7" spans="1:9" ht="15.75" customHeight="1" x14ac:dyDescent="0.25">
      <c r="A7" s="5">
        <f t="shared" si="3"/>
        <v>2026</v>
      </c>
      <c r="B7" s="49">
        <v>315027.80440000002</v>
      </c>
      <c r="C7" s="50">
        <v>826000</v>
      </c>
      <c r="D7" s="50">
        <v>1103000</v>
      </c>
      <c r="E7" s="50">
        <v>1542000</v>
      </c>
      <c r="F7" s="50">
        <v>1300000</v>
      </c>
      <c r="G7" s="17">
        <f t="shared" si="0"/>
        <v>4771000</v>
      </c>
      <c r="H7" s="17">
        <f t="shared" si="1"/>
        <v>359925.95050791954</v>
      </c>
      <c r="I7" s="17">
        <f t="shared" si="2"/>
        <v>4411074.0494920807</v>
      </c>
    </row>
    <row r="8" spans="1:9" ht="15.75" customHeight="1" x14ac:dyDescent="0.25">
      <c r="A8" s="5">
        <f t="shared" si="3"/>
        <v>2027</v>
      </c>
      <c r="B8" s="49">
        <v>313382.90999999997</v>
      </c>
      <c r="C8" s="50">
        <v>871000</v>
      </c>
      <c r="D8" s="50">
        <v>1136000</v>
      </c>
      <c r="E8" s="50">
        <v>1483000</v>
      </c>
      <c r="F8" s="50">
        <v>1348000</v>
      </c>
      <c r="G8" s="17">
        <f t="shared" si="0"/>
        <v>4838000</v>
      </c>
      <c r="H8" s="17">
        <f t="shared" si="1"/>
        <v>358046.623756007</v>
      </c>
      <c r="I8" s="17">
        <f t="shared" si="2"/>
        <v>4479953.3762439927</v>
      </c>
    </row>
    <row r="9" spans="1:9" ht="15.75" customHeight="1" x14ac:dyDescent="0.25">
      <c r="A9" s="5">
        <f t="shared" si="3"/>
        <v>2028</v>
      </c>
      <c r="B9" s="49">
        <v>311603.00079999998</v>
      </c>
      <c r="C9" s="50">
        <v>911000</v>
      </c>
      <c r="D9" s="50">
        <v>1188000</v>
      </c>
      <c r="E9" s="50">
        <v>1414000</v>
      </c>
      <c r="F9" s="50">
        <v>1401000</v>
      </c>
      <c r="G9" s="17">
        <f t="shared" si="0"/>
        <v>4914000</v>
      </c>
      <c r="H9" s="17">
        <f t="shared" si="1"/>
        <v>356013.03973047016</v>
      </c>
      <c r="I9" s="17">
        <f t="shared" si="2"/>
        <v>4557986.9602695294</v>
      </c>
    </row>
    <row r="10" spans="1:9" ht="15.75" customHeight="1" x14ac:dyDescent="0.25">
      <c r="A10" s="5">
        <f t="shared" si="3"/>
        <v>2029</v>
      </c>
      <c r="B10" s="49">
        <v>309722.04320000001</v>
      </c>
      <c r="C10" s="50">
        <v>940000</v>
      </c>
      <c r="D10" s="50">
        <v>1252000</v>
      </c>
      <c r="E10" s="50">
        <v>1342000</v>
      </c>
      <c r="F10" s="50">
        <v>1451000</v>
      </c>
      <c r="G10" s="17">
        <f t="shared" si="0"/>
        <v>4985000</v>
      </c>
      <c r="H10" s="17">
        <f t="shared" si="1"/>
        <v>353864.00576397788</v>
      </c>
      <c r="I10" s="17">
        <f t="shared" si="2"/>
        <v>4631135.9942360222</v>
      </c>
    </row>
    <row r="11" spans="1:9" ht="15.75" customHeight="1" x14ac:dyDescent="0.25">
      <c r="A11" s="5">
        <f t="shared" si="3"/>
        <v>2030</v>
      </c>
      <c r="B11" s="49">
        <v>307726.53999999998</v>
      </c>
      <c r="C11" s="50">
        <v>955000</v>
      </c>
      <c r="D11" s="50">
        <v>1324000</v>
      </c>
      <c r="E11" s="50">
        <v>1275000</v>
      </c>
      <c r="F11" s="50">
        <v>1493000</v>
      </c>
      <c r="G11" s="17">
        <f t="shared" si="0"/>
        <v>5047000</v>
      </c>
      <c r="H11" s="17">
        <f t="shared" si="1"/>
        <v>351584.10101915849</v>
      </c>
      <c r="I11" s="17">
        <f t="shared" si="2"/>
        <v>4695415.898980841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1.7674916162052361E-3</v>
      </c>
    </row>
    <row r="4" spans="1:8" ht="15.75" customHeight="1" x14ac:dyDescent="0.25">
      <c r="B4" s="19" t="s">
        <v>69</v>
      </c>
      <c r="C4" s="51">
        <v>0.113740677967266</v>
      </c>
    </row>
    <row r="5" spans="1:8" ht="15.75" customHeight="1" x14ac:dyDescent="0.25">
      <c r="B5" s="19" t="s">
        <v>70</v>
      </c>
      <c r="C5" s="51">
        <v>5.1637448915844868E-2</v>
      </c>
    </row>
    <row r="6" spans="1:8" ht="15.75" customHeight="1" x14ac:dyDescent="0.25">
      <c r="B6" s="19" t="s">
        <v>71</v>
      </c>
      <c r="C6" s="51">
        <v>0.216130520010517</v>
      </c>
    </row>
    <row r="7" spans="1:8" ht="15.75" customHeight="1" x14ac:dyDescent="0.25">
      <c r="B7" s="19" t="s">
        <v>72</v>
      </c>
      <c r="C7" s="51">
        <v>0.3026405963382805</v>
      </c>
    </row>
    <row r="8" spans="1:8" ht="15.75" customHeight="1" x14ac:dyDescent="0.25">
      <c r="B8" s="19" t="s">
        <v>73</v>
      </c>
      <c r="C8" s="51">
        <v>1.993589743588038E-3</v>
      </c>
    </row>
    <row r="9" spans="1:8" ht="15.75" customHeight="1" x14ac:dyDescent="0.25">
      <c r="B9" s="19" t="s">
        <v>74</v>
      </c>
      <c r="C9" s="51">
        <v>0.2357137679590697</v>
      </c>
    </row>
    <row r="10" spans="1:8" ht="15.75" customHeight="1" x14ac:dyDescent="0.25">
      <c r="B10" s="19" t="s">
        <v>75</v>
      </c>
      <c r="C10" s="51">
        <v>7.6375907449228647E-2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0.11213397272520199</v>
      </c>
      <c r="D14" s="51">
        <v>0.11213397272520199</v>
      </c>
      <c r="E14" s="51">
        <v>0.11213397272520199</v>
      </c>
      <c r="F14" s="51">
        <v>0.11213397272520199</v>
      </c>
    </row>
    <row r="15" spans="1:8" ht="15.75" customHeight="1" x14ac:dyDescent="0.25">
      <c r="B15" s="19" t="s">
        <v>82</v>
      </c>
      <c r="C15" s="51">
        <v>0.1867952664483741</v>
      </c>
      <c r="D15" s="51">
        <v>0.1867952664483741</v>
      </c>
      <c r="E15" s="51">
        <v>0.1867952664483741</v>
      </c>
      <c r="F15" s="51">
        <v>0.1867952664483741</v>
      </c>
    </row>
    <row r="16" spans="1:8" ht="15.75" customHeight="1" x14ac:dyDescent="0.25">
      <c r="B16" s="19" t="s">
        <v>83</v>
      </c>
      <c r="C16" s="51">
        <v>9.2257102976306214E-3</v>
      </c>
      <c r="D16" s="51">
        <v>9.2257102976306214E-3</v>
      </c>
      <c r="E16" s="51">
        <v>9.2257102976306214E-3</v>
      </c>
      <c r="F16" s="51">
        <v>9.2257102976306214E-3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2.016214979696971E-2</v>
      </c>
      <c r="D19" s="51">
        <v>2.016214979696971E-2</v>
      </c>
      <c r="E19" s="51">
        <v>2.016214979696971E-2</v>
      </c>
      <c r="F19" s="51">
        <v>2.016214979696971E-2</v>
      </c>
    </row>
    <row r="20" spans="1:8" ht="15.75" customHeight="1" x14ac:dyDescent="0.25">
      <c r="B20" s="19" t="s">
        <v>87</v>
      </c>
      <c r="C20" s="51">
        <v>2.1696055557029699E-2</v>
      </c>
      <c r="D20" s="51">
        <v>2.1696055557029699E-2</v>
      </c>
      <c r="E20" s="51">
        <v>2.1696055557029699E-2</v>
      </c>
      <c r="F20" s="51">
        <v>2.1696055557029699E-2</v>
      </c>
    </row>
    <row r="21" spans="1:8" ht="15.75" customHeight="1" x14ac:dyDescent="0.25">
      <c r="B21" s="19" t="s">
        <v>88</v>
      </c>
      <c r="C21" s="51">
        <v>0.16557939975808139</v>
      </c>
      <c r="D21" s="51">
        <v>0.16557939975808139</v>
      </c>
      <c r="E21" s="51">
        <v>0.16557939975808139</v>
      </c>
      <c r="F21" s="51">
        <v>0.16557939975808139</v>
      </c>
    </row>
    <row r="22" spans="1:8" ht="15.75" customHeight="1" x14ac:dyDescent="0.25">
      <c r="B22" s="19" t="s">
        <v>89</v>
      </c>
      <c r="C22" s="51">
        <v>0.4844074454167126</v>
      </c>
      <c r="D22" s="51">
        <v>0.4844074454167126</v>
      </c>
      <c r="E22" s="51">
        <v>0.4844074454167126</v>
      </c>
      <c r="F22" s="51">
        <v>0.4844074454167126</v>
      </c>
    </row>
    <row r="23" spans="1:8" ht="15.75" customHeight="1" x14ac:dyDescent="0.25">
      <c r="B23" s="27" t="s">
        <v>30</v>
      </c>
      <c r="C23" s="47">
        <f>SUM(C14:C22)</f>
        <v>1.0000000000000002</v>
      </c>
      <c r="D23" s="47">
        <f>SUM(D14:D22)</f>
        <v>1.0000000000000002</v>
      </c>
      <c r="E23" s="47">
        <f>SUM(E14:E22)</f>
        <v>1.0000000000000002</v>
      </c>
      <c r="F23" s="47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1.8716897E-2</v>
      </c>
    </row>
    <row r="27" spans="1:8" ht="15.75" customHeight="1" x14ac:dyDescent="0.25">
      <c r="B27" s="19" t="s">
        <v>92</v>
      </c>
      <c r="C27" s="51">
        <v>2.6342269999999998E-3</v>
      </c>
    </row>
    <row r="28" spans="1:8" ht="15.75" customHeight="1" x14ac:dyDescent="0.25">
      <c r="B28" s="19" t="s">
        <v>93</v>
      </c>
      <c r="C28" s="51">
        <v>0.29297385599999998</v>
      </c>
    </row>
    <row r="29" spans="1:8" ht="15.75" customHeight="1" x14ac:dyDescent="0.25">
      <c r="B29" s="19" t="s">
        <v>94</v>
      </c>
      <c r="C29" s="51">
        <v>7.1156342999999997E-2</v>
      </c>
    </row>
    <row r="30" spans="1:8" ht="15.75" customHeight="1" x14ac:dyDescent="0.25">
      <c r="B30" s="19" t="s">
        <v>95</v>
      </c>
      <c r="C30" s="51">
        <v>0.18743774999999999</v>
      </c>
    </row>
    <row r="31" spans="1:8" ht="15.75" customHeight="1" x14ac:dyDescent="0.25">
      <c r="B31" s="19" t="s">
        <v>96</v>
      </c>
      <c r="C31" s="51">
        <v>5.5795655999999999E-2</v>
      </c>
    </row>
    <row r="32" spans="1:8" ht="15.75" customHeight="1" x14ac:dyDescent="0.25">
      <c r="B32" s="19" t="s">
        <v>97</v>
      </c>
      <c r="C32" s="51">
        <v>3.8825242000000003E-2</v>
      </c>
    </row>
    <row r="33" spans="2:3" ht="15.75" customHeight="1" x14ac:dyDescent="0.25">
      <c r="B33" s="19" t="s">
        <v>98</v>
      </c>
      <c r="C33" s="51">
        <v>1.5145660999999999E-2</v>
      </c>
    </row>
    <row r="34" spans="2:3" ht="15.75" customHeight="1" x14ac:dyDescent="0.25">
      <c r="B34" s="19" t="s">
        <v>99</v>
      </c>
      <c r="C34" s="51">
        <v>0.31731436899999999</v>
      </c>
    </row>
    <row r="35" spans="2:3" ht="15.75" customHeight="1" x14ac:dyDescent="0.25">
      <c r="B35" s="27" t="s">
        <v>30</v>
      </c>
      <c r="C35" s="47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0.74204106995474561</v>
      </c>
      <c r="D2" s="52">
        <f>IFERROR(1-_xlfn.NORM.DIST(_xlfn.NORM.INV(SUM(D4:D5), 0, 1) + 1, 0, 1, TRUE), "")</f>
        <v>0.74204106995474561</v>
      </c>
      <c r="E2" s="52">
        <f>IFERROR(1-_xlfn.NORM.DIST(_xlfn.NORM.INV(SUM(E4:E5), 0, 1) + 1, 0, 1, TRUE), "")</f>
        <v>0.7161228220981839</v>
      </c>
      <c r="F2" s="52">
        <f>IFERROR(1-_xlfn.NORM.DIST(_xlfn.NORM.INV(SUM(F4:F5), 0, 1) + 1, 0, 1, TRUE), "")</f>
        <v>0.63590887022530385</v>
      </c>
      <c r="G2" s="52">
        <f>IFERROR(1-_xlfn.NORM.DIST(_xlfn.NORM.INV(SUM(G4:G5), 0, 1) + 1, 0, 1, TRUE), "")</f>
        <v>0.64403128869994553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0.20845173305261869</v>
      </c>
      <c r="D3" s="52">
        <f>IFERROR(_xlfn.NORM.DIST(_xlfn.NORM.INV(SUM(D4:D5), 0, 1) + 1, 0, 1, TRUE) - SUM(D4:D5), "")</f>
        <v>0.20845173305261869</v>
      </c>
      <c r="E3" s="52">
        <f>IFERROR(_xlfn.NORM.DIST(_xlfn.NORM.INV(SUM(E4:E5), 0, 1) + 1, 0, 1, TRUE) - SUM(E4:E5), "")</f>
        <v>0.22582787162835566</v>
      </c>
      <c r="F3" s="52">
        <f>IFERROR(_xlfn.NORM.DIST(_xlfn.NORM.INV(SUM(F4:F5), 0, 1) + 1, 0, 1, TRUE) - SUM(F4:F5), "")</f>
        <v>0.27518867122615026</v>
      </c>
      <c r="G3" s="52">
        <f>IFERROR(_xlfn.NORM.DIST(_xlfn.NORM.INV(SUM(G4:G5), 0, 1) + 1, 0, 1, TRUE) - SUM(G4:G5), "")</f>
        <v>0.27050897233025156</v>
      </c>
    </row>
    <row r="4" spans="1:15" ht="15.75" customHeight="1" x14ac:dyDescent="0.25">
      <c r="B4" s="5" t="s">
        <v>104</v>
      </c>
      <c r="C4" s="53">
        <v>3.0190013349056199E-2</v>
      </c>
      <c r="D4" s="53">
        <v>3.0190013349056199E-2</v>
      </c>
      <c r="E4" s="53">
        <v>4.1978396475315101E-2</v>
      </c>
      <c r="F4" s="53">
        <v>4.7891374677419697E-2</v>
      </c>
      <c r="G4" s="53">
        <v>6.4321674406528501E-2</v>
      </c>
    </row>
    <row r="5" spans="1:15" ht="15.75" customHeight="1" x14ac:dyDescent="0.25">
      <c r="B5" s="5" t="s">
        <v>105</v>
      </c>
      <c r="C5" s="53">
        <v>1.93171836435795E-2</v>
      </c>
      <c r="D5" s="53">
        <v>1.93171836435795E-2</v>
      </c>
      <c r="E5" s="53">
        <v>1.6070909798145301E-2</v>
      </c>
      <c r="F5" s="53">
        <v>4.1011083871126203E-2</v>
      </c>
      <c r="G5" s="53">
        <v>2.1138064563274401E-2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0.53828633689990979</v>
      </c>
      <c r="D8" s="52">
        <f>IFERROR(1-_xlfn.NORM.DIST(_xlfn.NORM.INV(SUM(D10:D11), 0, 1) + 1, 0, 1, TRUE), "")</f>
        <v>0.53828633689990979</v>
      </c>
      <c r="E8" s="52">
        <f>IFERROR(1-_xlfn.NORM.DIST(_xlfn.NORM.INV(SUM(E10:E11), 0, 1) + 1, 0, 1, TRUE), "")</f>
        <v>0.8176327647509436</v>
      </c>
      <c r="F8" s="52">
        <f>IFERROR(1-_xlfn.NORM.DIST(_xlfn.NORM.INV(SUM(F10:F11), 0, 1) + 1, 0, 1, TRUE), "")</f>
        <v>0.82813916902818063</v>
      </c>
      <c r="G8" s="52">
        <f>IFERROR(1-_xlfn.NORM.DIST(_xlfn.NORM.INV(SUM(G10:G11), 0, 1) + 1, 0, 1, TRUE), "")</f>
        <v>0.86291465579214166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0.32519996425398856</v>
      </c>
      <c r="D9" s="52">
        <f>IFERROR(_xlfn.NORM.DIST(_xlfn.NORM.INV(SUM(D10:D11), 0, 1) + 1, 0, 1, TRUE) - SUM(D10:D11), "")</f>
        <v>0.32519996425398856</v>
      </c>
      <c r="E9" s="52">
        <f>IFERROR(_xlfn.NORM.DIST(_xlfn.NORM.INV(SUM(E10:E11), 0, 1) + 1, 0, 1, TRUE) - SUM(E10:E11), "")</f>
        <v>0.15406680927999208</v>
      </c>
      <c r="F9" s="52">
        <f>IFERROR(_xlfn.NORM.DIST(_xlfn.NORM.INV(SUM(F10:F11), 0, 1) + 1, 0, 1, TRUE) - SUM(F10:F11), "")</f>
        <v>0.14608371269128939</v>
      </c>
      <c r="G9" s="52">
        <f>IFERROR(_xlfn.NORM.DIST(_xlfn.NORM.INV(SUM(G10:G11), 0, 1) + 1, 0, 1, TRUE) - SUM(G10:G11), "")</f>
        <v>0.11893344207984734</v>
      </c>
    </row>
    <row r="10" spans="1:15" ht="15.75" customHeight="1" x14ac:dyDescent="0.25">
      <c r="B10" s="5" t="s">
        <v>109</v>
      </c>
      <c r="C10" s="53">
        <v>8.7693624198436695E-2</v>
      </c>
      <c r="D10" s="53">
        <v>8.7693624198436695E-2</v>
      </c>
      <c r="E10" s="53">
        <v>1.8754139542579699E-2</v>
      </c>
      <c r="F10" s="53">
        <v>1.7150809988379499E-2</v>
      </c>
      <c r="G10" s="53">
        <v>1.22688328847289E-2</v>
      </c>
    </row>
    <row r="11" spans="1:15" ht="15.75" customHeight="1" x14ac:dyDescent="0.25">
      <c r="B11" s="5" t="s">
        <v>110</v>
      </c>
      <c r="C11" s="53">
        <v>4.8820074647665003E-2</v>
      </c>
      <c r="D11" s="53">
        <v>4.8820074647665003E-2</v>
      </c>
      <c r="E11" s="53">
        <v>9.5462864264846004E-3</v>
      </c>
      <c r="F11" s="53">
        <v>8.6263082921504992E-3</v>
      </c>
      <c r="G11" s="53">
        <v>5.8830692432820996E-3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0.43544833799999999</v>
      </c>
      <c r="D14" s="54">
        <v>0.414763389195</v>
      </c>
      <c r="E14" s="54">
        <v>0.414763389195</v>
      </c>
      <c r="F14" s="54">
        <v>0.239306340073</v>
      </c>
      <c r="G14" s="54">
        <v>0.239306340073</v>
      </c>
      <c r="H14" s="55">
        <v>0.30399999999999999</v>
      </c>
      <c r="I14" s="55">
        <v>0.30399999999999999</v>
      </c>
      <c r="J14" s="55">
        <v>0.30399999999999999</v>
      </c>
      <c r="K14" s="55">
        <v>0.30399999999999999</v>
      </c>
      <c r="L14" s="55">
        <v>0.307</v>
      </c>
      <c r="M14" s="55">
        <v>0.307</v>
      </c>
      <c r="N14" s="55">
        <v>0.307</v>
      </c>
      <c r="O14" s="55">
        <v>0.307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0.26805285245770205</v>
      </c>
      <c r="D15" s="52">
        <f t="shared" si="0"/>
        <v>0.25531963235726896</v>
      </c>
      <c r="E15" s="52">
        <f t="shared" si="0"/>
        <v>0.25531963235726896</v>
      </c>
      <c r="F15" s="52">
        <f t="shared" si="0"/>
        <v>0.14731195751579729</v>
      </c>
      <c r="G15" s="52">
        <f t="shared" si="0"/>
        <v>0.14731195751579729</v>
      </c>
      <c r="H15" s="52">
        <f t="shared" si="0"/>
        <v>0.18713601600000002</v>
      </c>
      <c r="I15" s="52">
        <f t="shared" si="0"/>
        <v>0.18713601600000002</v>
      </c>
      <c r="J15" s="52">
        <f t="shared" si="0"/>
        <v>0.18713601600000002</v>
      </c>
      <c r="K15" s="52">
        <f t="shared" si="0"/>
        <v>0.18713601600000002</v>
      </c>
      <c r="L15" s="52">
        <f t="shared" si="0"/>
        <v>0.18898275300000003</v>
      </c>
      <c r="M15" s="52">
        <f t="shared" si="0"/>
        <v>0.18898275300000003</v>
      </c>
      <c r="N15" s="52">
        <f t="shared" si="0"/>
        <v>0.18898275300000003</v>
      </c>
      <c r="O15" s="52">
        <f t="shared" si="0"/>
        <v>0.18898275300000003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0.69556260108947798</v>
      </c>
      <c r="D2" s="53">
        <v>0.35208210000000001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0.24088123440742501</v>
      </c>
      <c r="D3" s="53">
        <v>0.36556179999999999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2.9348679999999999E-2</v>
      </c>
      <c r="D4" s="53">
        <v>0.1994631</v>
      </c>
      <c r="E4" s="53">
        <v>0.81741821765899703</v>
      </c>
      <c r="F4" s="53">
        <v>0.40598389506339999</v>
      </c>
      <c r="G4" s="53">
        <v>0</v>
      </c>
    </row>
    <row r="5" spans="1:7" x14ac:dyDescent="0.25">
      <c r="B5" s="3" t="s">
        <v>122</v>
      </c>
      <c r="C5" s="52">
        <v>3.2593633979558903E-2</v>
      </c>
      <c r="D5" s="52">
        <v>8.7540797889232594E-2</v>
      </c>
      <c r="E5" s="52">
        <f>1-SUM(E2:E4)</f>
        <v>0.18258178234100297</v>
      </c>
      <c r="F5" s="52">
        <f>1-SUM(F2:F4)</f>
        <v>0.59401610493659995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2023-01-17T02:33:21Z</dcterms:modified>
</cp:coreProperties>
</file>