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76182AB-727E-42BA-84EF-C81333A710F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<sst xmlns="http://schemas.openxmlformats.org/spreadsheetml/2006/main" count="2093" uniqueCount="337">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</sst>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94952.9052734375</v>
      </c>
    </row>
    <row r="8" spans="1:3" ht="15" customHeight="1" x14ac:dyDescent="0.25">
      <c r="B8" s="69" t="s">
        <v>8</v>
      </c>
      <c r="C8" s="32">
        <v>0.17100000000000001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0.31655279159545902</v>
      </c>
    </row>
    <row r="11" spans="1:3" ht="15" customHeight="1" x14ac:dyDescent="0.25">
      <c r="B11" s="69" t="s">
        <v>11</v>
      </c>
      <c r="C11" s="32">
        <v>0.25700000000000001</v>
      </c>
    </row>
    <row r="12" spans="1:3" ht="15" customHeight="1" x14ac:dyDescent="0.25">
      <c r="B12" s="69" t="s">
        <v>12</v>
      </c>
      <c r="C12" s="32">
        <v>0.94400000000000006</v>
      </c>
    </row>
    <row r="13" spans="1:3" ht="15" customHeight="1" x14ac:dyDescent="0.25">
      <c r="B13" s="69" t="s">
        <v>13</v>
      </c>
      <c r="C13" s="32">
        <v>0.36399999999999999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3.44E-2</v>
      </c>
    </row>
    <row r="24" spans="1:3" ht="15" customHeight="1" x14ac:dyDescent="0.25">
      <c r="B24" s="7" t="s">
        <v>22</v>
      </c>
      <c r="C24" s="33">
        <v>0.33629999999999999</v>
      </c>
    </row>
    <row r="25" spans="1:3" ht="15" customHeight="1" x14ac:dyDescent="0.25">
      <c r="B25" s="7" t="s">
        <v>23</v>
      </c>
      <c r="C25" s="33">
        <v>0.51450000000000007</v>
      </c>
    </row>
    <row r="26" spans="1:3" ht="15" customHeight="1" x14ac:dyDescent="0.25">
      <c r="B26" s="7" t="s">
        <v>24</v>
      </c>
      <c r="C26" s="33">
        <v>0.1148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30.508226819825499</v>
      </c>
    </row>
    <row r="38" spans="1:5" ht="15" customHeight="1" x14ac:dyDescent="0.25">
      <c r="B38" s="65" t="s">
        <v>34</v>
      </c>
      <c r="C38" s="94">
        <v>48.416799486096799</v>
      </c>
      <c r="D38" s="5"/>
      <c r="E38" s="6"/>
    </row>
    <row r="39" spans="1:5" ht="15" customHeight="1" x14ac:dyDescent="0.25">
      <c r="B39" s="65" t="s">
        <v>35</v>
      </c>
      <c r="C39" s="94">
        <v>57.491834604890599</v>
      </c>
      <c r="D39" s="5"/>
      <c r="E39" s="5"/>
    </row>
    <row r="40" spans="1:5" ht="15" customHeight="1" x14ac:dyDescent="0.25">
      <c r="B40" s="65" t="s">
        <v>36</v>
      </c>
      <c r="C40" s="94">
        <v>2.48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27.858889099999999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1.9369600000000001E-2</v>
      </c>
      <c r="D45" s="5"/>
    </row>
    <row r="46" spans="1:5" ht="15.75" customHeight="1" x14ac:dyDescent="0.25">
      <c r="B46" s="65" t="s">
        <v>41</v>
      </c>
      <c r="C46" s="33">
        <v>9.9817599999999992E-2</v>
      </c>
      <c r="D46" s="5"/>
    </row>
    <row r="47" spans="1:5" ht="15.75" customHeight="1" x14ac:dyDescent="0.25">
      <c r="B47" s="65" t="s">
        <v>42</v>
      </c>
      <c r="C47" s="33">
        <v>0.30377999999999999</v>
      </c>
      <c r="D47" s="5"/>
      <c r="E47" s="6"/>
    </row>
    <row r="48" spans="1:5" ht="15" customHeight="1" x14ac:dyDescent="0.25">
      <c r="B48" s="65" t="s">
        <v>43</v>
      </c>
      <c r="C48" s="97">
        <v>0.57703280000000001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0.53184900000000002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0.17518802450000001</v>
      </c>
      <c r="C2" s="43">
        <v>0.95</v>
      </c>
      <c r="D2" s="86">
        <v>43.538824130096224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39.555341049656008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187.22300000000001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0.45185356226210671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5.4286736799999999E-2</v>
      </c>
      <c r="C10" s="43">
        <v>0.95</v>
      </c>
      <c r="D10" s="86">
        <v>12.687640493451919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5.4286736799999999E-2</v>
      </c>
      <c r="C11" s="43">
        <v>0.95</v>
      </c>
      <c r="D11" s="86">
        <v>12.687640493451919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5.4286736799999999E-2</v>
      </c>
      <c r="C12" s="43">
        <v>0.95</v>
      </c>
      <c r="D12" s="86">
        <v>12.687640493451919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5.4286736799999999E-2</v>
      </c>
      <c r="C13" s="43">
        <v>0.95</v>
      </c>
      <c r="D13" s="86">
        <v>12.687640493451919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5.4286736799999999E-2</v>
      </c>
      <c r="C14" s="43">
        <v>0.95</v>
      </c>
      <c r="D14" s="86">
        <v>12.687640493451919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5.4286736799999999E-2</v>
      </c>
      <c r="C15" s="43">
        <v>0.95</v>
      </c>
      <c r="D15" s="86">
        <v>12.687640493451919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0.39440629334727351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0.252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0.78</v>
      </c>
      <c r="C18" s="43">
        <v>0.95</v>
      </c>
      <c r="D18" s="86">
        <v>4.3845374540579991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4.3845374540579991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0.87421629999999995</v>
      </c>
      <c r="C21" s="43">
        <v>0.95</v>
      </c>
      <c r="D21" s="86">
        <v>4.3947620614430702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21.724653940727581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4.0765008182611906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0.2209835220977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4.2340263800000007E-2</v>
      </c>
      <c r="C27" s="43">
        <v>0.95</v>
      </c>
      <c r="D27" s="86">
        <v>18.207243489598099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0.63605357245377903</v>
      </c>
      <c r="C29" s="43">
        <v>0.95</v>
      </c>
      <c r="D29" s="86">
        <v>80.575440792660984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7.6024020713157681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4.3203220000000001E-4</v>
      </c>
      <c r="C32" s="43">
        <v>0.95</v>
      </c>
      <c r="D32" s="86">
        <v>0.81346282995132901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0.30199999999999999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2.5817575544536639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0.81717412702442205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0.63094281256198925</v>
      </c>
      <c r="C3" s="13">
        <f>frac_mam_1_5months * 2.6</f>
        <v>0.63094281256198925</v>
      </c>
      <c r="D3" s="13">
        <f>frac_mam_6_11months * 2.6</f>
        <v>0.27605195343494343</v>
      </c>
      <c r="E3" s="13">
        <f>frac_mam_12_23months * 2.6</f>
        <v>0.2214783430099487</v>
      </c>
      <c r="F3" s="13">
        <f>frac_mam_24_59months * 2.6</f>
        <v>0.2406097233295442</v>
      </c>
    </row>
    <row r="4" spans="1:6" ht="15.75" customHeight="1" x14ac:dyDescent="0.25">
      <c r="A4" s="78" t="s">
        <v>204</v>
      </c>
      <c r="B4" s="13">
        <f>frac_sam_1month * 2.6</f>
        <v>0.56396074295043863</v>
      </c>
      <c r="C4" s="13">
        <f>frac_sam_1_5months * 2.6</f>
        <v>0.56396074295043863</v>
      </c>
      <c r="D4" s="13">
        <f>frac_sam_6_11months * 2.6</f>
        <v>0.47581715881824538</v>
      </c>
      <c r="E4" s="13">
        <f>frac_sam_12_23months * 2.6</f>
        <v>0.45735889971256166</v>
      </c>
      <c r="F4" s="13">
        <f>frac_sam_24_59months * 2.6</f>
        <v>0.36888309419155224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0.17100000000000001</v>
      </c>
      <c r="E2" s="47">
        <f>food_insecure</f>
        <v>0.17100000000000001</v>
      </c>
      <c r="F2" s="47">
        <f>food_insecure</f>
        <v>0.17100000000000001</v>
      </c>
      <c r="G2" s="47">
        <f>food_insecure</f>
        <v>0.17100000000000001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0.17100000000000001</v>
      </c>
      <c r="F5" s="47">
        <f>food_insecure</f>
        <v>0.17100000000000001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0.17100000000000001</v>
      </c>
      <c r="F8" s="47">
        <f>food_insecure</f>
        <v>0.17100000000000001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0.17100000000000001</v>
      </c>
      <c r="F9" s="47">
        <f>food_insecure</f>
        <v>0.17100000000000001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0.94400000000000006</v>
      </c>
      <c r="E10" s="47">
        <f>IF(ISBLANK(comm_deliv), frac_children_health_facility,1)</f>
        <v>0.94400000000000006</v>
      </c>
      <c r="F10" s="47">
        <f>IF(ISBLANK(comm_deliv), frac_children_health_facility,1)</f>
        <v>0.94400000000000006</v>
      </c>
      <c r="G10" s="47">
        <f>IF(ISBLANK(comm_deliv), frac_children_health_facility,1)</f>
        <v>0.94400000000000006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0.17100000000000001</v>
      </c>
      <c r="I15" s="47">
        <f>food_insecure</f>
        <v>0.17100000000000001</v>
      </c>
      <c r="J15" s="47">
        <f>food_insecure</f>
        <v>0.17100000000000001</v>
      </c>
      <c r="K15" s="47">
        <f>food_insecure</f>
        <v>0.17100000000000001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0.25700000000000001</v>
      </c>
      <c r="I18" s="47">
        <f>frac_PW_health_facility</f>
        <v>0.25700000000000001</v>
      </c>
      <c r="J18" s="47">
        <f>frac_PW_health_facility</f>
        <v>0.25700000000000001</v>
      </c>
      <c r="K18" s="47">
        <f>frac_PW_health_facility</f>
        <v>0.25700000000000001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0.36399999999999999</v>
      </c>
      <c r="M24" s="47">
        <f>famplan_unmet_need</f>
        <v>0.36399999999999999</v>
      </c>
      <c r="N24" s="47">
        <f>famplan_unmet_need</f>
        <v>0.36399999999999999</v>
      </c>
      <c r="O24" s="47">
        <f>famplan_unmet_need</f>
        <v>0.36399999999999999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0.35943172137203216</v>
      </c>
      <c r="M25" s="47">
        <f>(1-food_insecure)*(0.49)+food_insecure*(0.7)</f>
        <v>0.52590999999999999</v>
      </c>
      <c r="N25" s="47">
        <f>(1-food_insecure)*(0.49)+food_insecure*(0.7)</f>
        <v>0.52590999999999999</v>
      </c>
      <c r="O25" s="47">
        <f>(1-food_insecure)*(0.49)+food_insecure*(0.7)</f>
        <v>0.52590999999999999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0.1540421663022995</v>
      </c>
      <c r="M26" s="47">
        <f>(1-food_insecure)*(0.21)+food_insecure*(0.3)</f>
        <v>0.22539000000000001</v>
      </c>
      <c r="N26" s="47">
        <f>(1-food_insecure)*(0.21)+food_insecure*(0.3)</f>
        <v>0.22539000000000001</v>
      </c>
      <c r="O26" s="47">
        <f>(1-food_insecure)*(0.21)+food_insecure*(0.3)</f>
        <v>0.22539000000000001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0.16997332073020932</v>
      </c>
      <c r="M27" s="47">
        <f>(1-food_insecure)*(0.3)</f>
        <v>0.24869999999999998</v>
      </c>
      <c r="N27" s="47">
        <f>(1-food_insecure)*(0.3)</f>
        <v>0.24869999999999998</v>
      </c>
      <c r="O27" s="47">
        <f>(1-food_insecure)*(0.3)</f>
        <v>0.24869999999999998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0.31655279159545902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21649.914000000001</v>
      </c>
      <c r="C2" s="37">
        <v>48000</v>
      </c>
      <c r="D2" s="37">
        <v>94000</v>
      </c>
      <c r="E2" s="37">
        <v>81000</v>
      </c>
      <c r="F2" s="37">
        <v>58000</v>
      </c>
      <c r="G2" s="9">
        <f t="shared" ref="G2:G40" si="0">C2+D2+E2+F2</f>
        <v>281000</v>
      </c>
      <c r="H2" s="9">
        <f t="shared" ref="H2:H40" si="1">(B2 + stillbirth*B2/(1000-stillbirth))/(1-abortion)</f>
        <v>25307.205635222563</v>
      </c>
      <c r="I2" s="9">
        <f t="shared" ref="I2:I40" si="2">G2-H2</f>
        <v>255692.79436477745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21617.812000000002</v>
      </c>
      <c r="C3" s="37">
        <v>48000</v>
      </c>
      <c r="D3" s="37">
        <v>95000</v>
      </c>
      <c r="E3" s="37">
        <v>84000</v>
      </c>
      <c r="F3" s="37">
        <v>59000</v>
      </c>
      <c r="G3" s="9">
        <f t="shared" si="0"/>
        <v>286000</v>
      </c>
      <c r="H3" s="9">
        <f t="shared" si="1"/>
        <v>25269.680686379725</v>
      </c>
      <c r="I3" s="9">
        <f t="shared" si="2"/>
        <v>260730.31931362028</v>
      </c>
    </row>
    <row r="4" spans="1:9" ht="15.75" customHeight="1" x14ac:dyDescent="0.25">
      <c r="A4" s="69">
        <f t="shared" si="3"/>
        <v>2023</v>
      </c>
      <c r="B4" s="36">
        <v>21576.694</v>
      </c>
      <c r="C4" s="37">
        <v>48000</v>
      </c>
      <c r="D4" s="37">
        <v>96000</v>
      </c>
      <c r="E4" s="37">
        <v>86000</v>
      </c>
      <c r="F4" s="37">
        <v>60000</v>
      </c>
      <c r="G4" s="9">
        <f t="shared" si="0"/>
        <v>290000</v>
      </c>
      <c r="H4" s="9">
        <f t="shared" si="1"/>
        <v>25221.616676457597</v>
      </c>
      <c r="I4" s="9">
        <f t="shared" si="2"/>
        <v>264778.38332354242</v>
      </c>
    </row>
    <row r="5" spans="1:9" ht="15.75" customHeight="1" x14ac:dyDescent="0.25">
      <c r="A5" s="69">
        <f t="shared" si="3"/>
        <v>2024</v>
      </c>
      <c r="B5" s="36">
        <v>21526.560000000001</v>
      </c>
      <c r="C5" s="37">
        <v>47000</v>
      </c>
      <c r="D5" s="37">
        <v>96000</v>
      </c>
      <c r="E5" s="37">
        <v>88000</v>
      </c>
      <c r="F5" s="37">
        <v>62000</v>
      </c>
      <c r="G5" s="9">
        <f t="shared" si="0"/>
        <v>293000</v>
      </c>
      <c r="H5" s="9">
        <f t="shared" si="1"/>
        <v>25163.013605456195</v>
      </c>
      <c r="I5" s="9">
        <f t="shared" si="2"/>
        <v>267836.98639454378</v>
      </c>
    </row>
    <row r="6" spans="1:9" ht="15.75" customHeight="1" x14ac:dyDescent="0.25">
      <c r="A6" s="69">
        <f t="shared" si="3"/>
        <v>2025</v>
      </c>
      <c r="B6" s="36">
        <v>21447.347000000002</v>
      </c>
      <c r="C6" s="37">
        <v>47000</v>
      </c>
      <c r="D6" s="37">
        <v>97000</v>
      </c>
      <c r="E6" s="37">
        <v>90000</v>
      </c>
      <c r="F6" s="37">
        <v>64000</v>
      </c>
      <c r="G6" s="9">
        <f t="shared" si="0"/>
        <v>298000</v>
      </c>
      <c r="H6" s="9">
        <f t="shared" si="1"/>
        <v>25070.419257045258</v>
      </c>
      <c r="I6" s="9">
        <f t="shared" si="2"/>
        <v>272929.58074295474</v>
      </c>
    </row>
    <row r="7" spans="1:9" ht="15.75" customHeight="1" x14ac:dyDescent="0.25">
      <c r="A7" s="69">
        <f t="shared" si="3"/>
        <v>2026</v>
      </c>
      <c r="B7" s="36">
        <v>21353.486400000002</v>
      </c>
      <c r="C7" s="37">
        <v>47000</v>
      </c>
      <c r="D7" s="37">
        <v>96000</v>
      </c>
      <c r="E7" s="37">
        <v>91000</v>
      </c>
      <c r="F7" s="37">
        <v>66000</v>
      </c>
      <c r="G7" s="9">
        <f t="shared" si="0"/>
        <v>300000</v>
      </c>
      <c r="H7" s="9">
        <f t="shared" si="1"/>
        <v>24960.702908738036</v>
      </c>
      <c r="I7" s="9">
        <f t="shared" si="2"/>
        <v>275039.29709126195</v>
      </c>
    </row>
    <row r="8" spans="1:9" ht="15.75" customHeight="1" x14ac:dyDescent="0.25">
      <c r="A8" s="69">
        <f t="shared" si="3"/>
        <v>2027</v>
      </c>
      <c r="B8" s="36">
        <v>21251.102999999999</v>
      </c>
      <c r="C8" s="37">
        <v>48000</v>
      </c>
      <c r="D8" s="37">
        <v>96000</v>
      </c>
      <c r="E8" s="37">
        <v>91000</v>
      </c>
      <c r="F8" s="37">
        <v>68000</v>
      </c>
      <c r="G8" s="9">
        <f t="shared" si="0"/>
        <v>303000</v>
      </c>
      <c r="H8" s="9">
        <f t="shared" si="1"/>
        <v>24841.024014982002</v>
      </c>
      <c r="I8" s="9">
        <f t="shared" si="2"/>
        <v>278158.97598501801</v>
      </c>
    </row>
    <row r="9" spans="1:9" ht="15.75" customHeight="1" x14ac:dyDescent="0.25">
      <c r="A9" s="69">
        <f t="shared" si="3"/>
        <v>2028</v>
      </c>
      <c r="B9" s="36">
        <v>21140.196800000002</v>
      </c>
      <c r="C9" s="37">
        <v>48000</v>
      </c>
      <c r="D9" s="37">
        <v>96000</v>
      </c>
      <c r="E9" s="37">
        <v>92000</v>
      </c>
      <c r="F9" s="37">
        <v>71000</v>
      </c>
      <c r="G9" s="9">
        <f t="shared" si="0"/>
        <v>307000</v>
      </c>
      <c r="H9" s="9">
        <f t="shared" si="1"/>
        <v>24711.382575777159</v>
      </c>
      <c r="I9" s="9">
        <f t="shared" si="2"/>
        <v>282288.61742422282</v>
      </c>
    </row>
    <row r="10" spans="1:9" ht="15.75" customHeight="1" x14ac:dyDescent="0.25">
      <c r="A10" s="69">
        <f t="shared" si="3"/>
        <v>2029</v>
      </c>
      <c r="B10" s="36">
        <v>21020.767800000001</v>
      </c>
      <c r="C10" s="37">
        <v>48000</v>
      </c>
      <c r="D10" s="37">
        <v>95000</v>
      </c>
      <c r="E10" s="37">
        <v>92000</v>
      </c>
      <c r="F10" s="37">
        <v>73000</v>
      </c>
      <c r="G10" s="9">
        <f t="shared" si="0"/>
        <v>308000</v>
      </c>
      <c r="H10" s="9">
        <f t="shared" si="1"/>
        <v>24571.778591123501</v>
      </c>
      <c r="I10" s="9">
        <f t="shared" si="2"/>
        <v>283428.22140887647</v>
      </c>
    </row>
    <row r="11" spans="1:9" ht="15.75" customHeight="1" x14ac:dyDescent="0.25">
      <c r="A11" s="69">
        <f t="shared" si="3"/>
        <v>2030</v>
      </c>
      <c r="B11" s="36">
        <v>20874.392</v>
      </c>
      <c r="C11" s="37">
        <v>48000</v>
      </c>
      <c r="D11" s="37">
        <v>95000</v>
      </c>
      <c r="E11" s="37">
        <v>92000</v>
      </c>
      <c r="F11" s="37">
        <v>76000</v>
      </c>
      <c r="G11" s="9">
        <f t="shared" si="0"/>
        <v>311000</v>
      </c>
      <c r="H11" s="9">
        <f t="shared" si="1"/>
        <v>24400.675718815546</v>
      </c>
      <c r="I11" s="9">
        <f t="shared" si="2"/>
        <v>286599.32428118447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3015836.0231303549</v>
      </c>
      <c r="I12" s="9">
        <f t="shared" si="2"/>
        <v>15567832.976869645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3074282.4576871456</v>
      </c>
      <c r="I13" s="9">
        <f t="shared" si="2"/>
        <v>16100297.542312855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3144418.1791552929</v>
      </c>
      <c r="I14" s="9">
        <f t="shared" si="2"/>
        <v>16631837.820844706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3202864.6137120826</v>
      </c>
      <c r="I15" s="9">
        <f t="shared" si="2"/>
        <v>17183863.386287916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7.543488854081618E-3</v>
      </c>
    </row>
    <row r="4" spans="1:8" ht="15.75" customHeight="1" x14ac:dyDescent="0.25">
      <c r="B4" s="11" t="s">
        <v>69</v>
      </c>
      <c r="C4" s="38">
        <v>0.13242753792447429</v>
      </c>
    </row>
    <row r="5" spans="1:8" ht="15.75" customHeight="1" x14ac:dyDescent="0.25">
      <c r="B5" s="11" t="s">
        <v>70</v>
      </c>
      <c r="C5" s="38">
        <v>5.885779327386876E-2</v>
      </c>
    </row>
    <row r="6" spans="1:8" ht="15.75" customHeight="1" x14ac:dyDescent="0.25">
      <c r="B6" s="11" t="s">
        <v>71</v>
      </c>
      <c r="C6" s="38">
        <v>0.2442617521493371</v>
      </c>
    </row>
    <row r="7" spans="1:8" ht="15.75" customHeight="1" x14ac:dyDescent="0.25">
      <c r="B7" s="11" t="s">
        <v>72</v>
      </c>
      <c r="C7" s="38">
        <v>0.36570902575107728</v>
      </c>
    </row>
    <row r="8" spans="1:8" ht="15.75" customHeight="1" x14ac:dyDescent="0.25">
      <c r="B8" s="11" t="s">
        <v>73</v>
      </c>
      <c r="C8" s="38">
        <v>1.0743613838689809E-2</v>
      </c>
    </row>
    <row r="9" spans="1:8" ht="15.75" customHeight="1" x14ac:dyDescent="0.25">
      <c r="B9" s="11" t="s">
        <v>74</v>
      </c>
      <c r="C9" s="38">
        <v>9.7585699689470673E-2</v>
      </c>
    </row>
    <row r="10" spans="1:8" ht="15.75" customHeight="1" x14ac:dyDescent="0.25">
      <c r="B10" s="11" t="s">
        <v>75</v>
      </c>
      <c r="C10" s="38">
        <v>8.2871088519000352E-2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0.151665744990786</v>
      </c>
      <c r="D14" s="38">
        <v>0.151665744990786</v>
      </c>
      <c r="E14" s="38">
        <v>0.151665744990786</v>
      </c>
      <c r="F14" s="38">
        <v>0.151665744990786</v>
      </c>
    </row>
    <row r="15" spans="1:8" ht="15.75" customHeight="1" x14ac:dyDescent="0.25">
      <c r="B15" s="11" t="s">
        <v>82</v>
      </c>
      <c r="C15" s="38">
        <v>0.2416185160850455</v>
      </c>
      <c r="D15" s="38">
        <v>0.2416185160850455</v>
      </c>
      <c r="E15" s="38">
        <v>0.2416185160850455</v>
      </c>
      <c r="F15" s="38">
        <v>0.2416185160850455</v>
      </c>
    </row>
    <row r="16" spans="1:8" ht="15.75" customHeight="1" x14ac:dyDescent="0.25">
      <c r="B16" s="11" t="s">
        <v>83</v>
      </c>
      <c r="C16" s="38">
        <v>2.8335464247998762E-2</v>
      </c>
      <c r="D16" s="38">
        <v>2.8335464247998762E-2</v>
      </c>
      <c r="E16" s="38">
        <v>2.8335464247998762E-2</v>
      </c>
      <c r="F16" s="38">
        <v>2.8335464247998762E-2</v>
      </c>
    </row>
    <row r="17" spans="1:8" ht="15.75" customHeight="1" x14ac:dyDescent="0.25">
      <c r="B17" s="11" t="s">
        <v>84</v>
      </c>
      <c r="C17" s="38">
        <v>4.105226024236245E-3</v>
      </c>
      <c r="D17" s="38">
        <v>4.105226024236245E-3</v>
      </c>
      <c r="E17" s="38">
        <v>4.105226024236245E-3</v>
      </c>
      <c r="F17" s="38">
        <v>4.105226024236245E-3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6.1570473560137581E-3</v>
      </c>
      <c r="D19" s="38">
        <v>6.1570473560137581E-3</v>
      </c>
      <c r="E19" s="38">
        <v>6.1570473560137581E-3</v>
      </c>
      <c r="F19" s="38">
        <v>6.1570473560137581E-3</v>
      </c>
    </row>
    <row r="20" spans="1:8" ht="15.75" customHeight="1" x14ac:dyDescent="0.25">
      <c r="B20" s="11" t="s">
        <v>87</v>
      </c>
      <c r="C20" s="38">
        <v>3.9937041558692231E-2</v>
      </c>
      <c r="D20" s="38">
        <v>3.9937041558692231E-2</v>
      </c>
      <c r="E20" s="38">
        <v>3.9937041558692231E-2</v>
      </c>
      <c r="F20" s="38">
        <v>3.9937041558692231E-2</v>
      </c>
    </row>
    <row r="21" spans="1:8" ht="15.75" customHeight="1" x14ac:dyDescent="0.25">
      <c r="B21" s="11" t="s">
        <v>88</v>
      </c>
      <c r="C21" s="38">
        <v>0.1188199994716328</v>
      </c>
      <c r="D21" s="38">
        <v>0.1188199994716328</v>
      </c>
      <c r="E21" s="38">
        <v>0.1188199994716328</v>
      </c>
      <c r="F21" s="38">
        <v>0.1188199994716328</v>
      </c>
    </row>
    <row r="22" spans="1:8" ht="15.75" customHeight="1" x14ac:dyDescent="0.25">
      <c r="B22" s="11" t="s">
        <v>89</v>
      </c>
      <c r="C22" s="38">
        <v>0.40936096026559488</v>
      </c>
      <c r="D22" s="38">
        <v>0.40936096026559488</v>
      </c>
      <c r="E22" s="38">
        <v>0.40936096026559488</v>
      </c>
      <c r="F22" s="38">
        <v>0.40936096026559488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4.4741791000000003E-2</v>
      </c>
    </row>
    <row r="27" spans="1:8" ht="15.75" customHeight="1" x14ac:dyDescent="0.25">
      <c r="B27" s="11" t="s">
        <v>92</v>
      </c>
      <c r="C27" s="38">
        <v>2.6038460999999999E-2</v>
      </c>
    </row>
    <row r="28" spans="1:8" ht="15.75" customHeight="1" x14ac:dyDescent="0.25">
      <c r="B28" s="11" t="s">
        <v>93</v>
      </c>
      <c r="C28" s="38">
        <v>0.189573254</v>
      </c>
    </row>
    <row r="29" spans="1:8" ht="15.75" customHeight="1" x14ac:dyDescent="0.25">
      <c r="B29" s="11" t="s">
        <v>94</v>
      </c>
      <c r="C29" s="38">
        <v>0.14647354200000001</v>
      </c>
    </row>
    <row r="30" spans="1:8" ht="15.75" customHeight="1" x14ac:dyDescent="0.25">
      <c r="B30" s="11" t="s">
        <v>95</v>
      </c>
      <c r="C30" s="38">
        <v>4.8331328999999999E-2</v>
      </c>
    </row>
    <row r="31" spans="1:8" ht="15.75" customHeight="1" x14ac:dyDescent="0.25">
      <c r="B31" s="11" t="s">
        <v>96</v>
      </c>
      <c r="C31" s="38">
        <v>2.9691288999999999E-2</v>
      </c>
    </row>
    <row r="32" spans="1:8" ht="15.75" customHeight="1" x14ac:dyDescent="0.25">
      <c r="B32" s="11" t="s">
        <v>97</v>
      </c>
      <c r="C32" s="38">
        <v>8.2147682999999999E-2</v>
      </c>
    </row>
    <row r="33" spans="2:3" ht="15.75" customHeight="1" x14ac:dyDescent="0.25">
      <c r="B33" s="11" t="s">
        <v>98</v>
      </c>
      <c r="C33" s="38">
        <v>0.16250015100000001</v>
      </c>
    </row>
    <row r="34" spans="2:3" ht="15.75" customHeight="1" x14ac:dyDescent="0.25">
      <c r="B34" s="11" t="s">
        <v>99</v>
      </c>
      <c r="C34" s="38">
        <v>0.27050250100000001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0.38682510550944138</v>
      </c>
      <c r="D2" s="99">
        <f>IFERROR(1-_xlfn.NORM.DIST(_xlfn.NORM.INV(SUM(D4:D5), 0, 1) + 1, 0, 1, TRUE), "")</f>
        <v>0.38682510550944138</v>
      </c>
      <c r="E2" s="99">
        <f>IFERROR(1-_xlfn.NORM.DIST(_xlfn.NORM.INV(SUM(E4:E5), 0, 1) + 1, 0, 1, TRUE), "")</f>
        <v>0.45166439650135448</v>
      </c>
      <c r="F2" s="99">
        <f>IFERROR(1-_xlfn.NORM.DIST(_xlfn.NORM.INV(SUM(F4:F5), 0, 1) + 1, 0, 1, TRUE), "")</f>
        <v>0.18289193012693883</v>
      </c>
      <c r="G2" s="99">
        <f>IFERROR(1-_xlfn.NORM.DIST(_xlfn.NORM.INV(SUM(G4:G5), 0, 1) + 1, 0, 1, TRUE), "")</f>
        <v>0.30274697746734458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0.37506523136170544</v>
      </c>
      <c r="D3" s="99">
        <f>IFERROR(_xlfn.NORM.DIST(_xlfn.NORM.INV(SUM(D4:D5), 0, 1) + 1, 0, 1, TRUE) - SUM(D4:D5), "")</f>
        <v>0.37506523136170544</v>
      </c>
      <c r="E3" s="99">
        <f>IFERROR(_xlfn.NORM.DIST(_xlfn.NORM.INV(SUM(E4:E5), 0, 1) + 1, 0, 1, TRUE) - SUM(E4:E5), "")</f>
        <v>0.35851095157188939</v>
      </c>
      <c r="F3" s="99">
        <f>IFERROR(_xlfn.NORM.DIST(_xlfn.NORM.INV(SUM(F4:F5), 0, 1) + 1, 0, 1, TRUE) - SUM(F4:F5), "")</f>
        <v>0.35518932840844619</v>
      </c>
      <c r="G3" s="99">
        <f>IFERROR(_xlfn.NORM.DIST(_xlfn.NORM.INV(SUM(G4:G5), 0, 1) + 1, 0, 1, TRUE) - SUM(G4:G5), "")</f>
        <v>0.38287690673370545</v>
      </c>
    </row>
    <row r="4" spans="1:15" ht="15.75" customHeight="1" x14ac:dyDescent="0.25">
      <c r="B4" s="69" t="s">
        <v>104</v>
      </c>
      <c r="C4" s="39">
        <v>7.2689577937126201E-2</v>
      </c>
      <c r="D4" s="39">
        <v>7.2689577937126201E-2</v>
      </c>
      <c r="E4" s="39">
        <v>4.0677037090063102E-2</v>
      </c>
      <c r="F4" s="39">
        <v>0.18425858020782501</v>
      </c>
      <c r="G4" s="39">
        <v>0.119717061519623</v>
      </c>
    </row>
    <row r="5" spans="1:15" ht="15.75" customHeight="1" x14ac:dyDescent="0.25">
      <c r="B5" s="69" t="s">
        <v>105</v>
      </c>
      <c r="C5" s="39">
        <v>0.16542008519172699</v>
      </c>
      <c r="D5" s="39">
        <v>0.16542008519172699</v>
      </c>
      <c r="E5" s="39">
        <v>0.149147614836693</v>
      </c>
      <c r="F5" s="39">
        <v>0.27766016125678999</v>
      </c>
      <c r="G5" s="39">
        <v>0.194659054279327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0.18445850769405636</v>
      </c>
      <c r="D8" s="99">
        <f>IFERROR(1-_xlfn.NORM.DIST(_xlfn.NORM.INV(SUM(D10:D11), 0, 1) + 1, 0, 1, TRUE), "")</f>
        <v>0.18445850769405636</v>
      </c>
      <c r="E8" s="99">
        <f>IFERROR(1-_xlfn.NORM.DIST(_xlfn.NORM.INV(SUM(E10:E11), 0, 1) + 1, 0, 1, TRUE), "")</f>
        <v>0.32844198040423711</v>
      </c>
      <c r="F8" s="99">
        <f>IFERROR(1-_xlfn.NORM.DIST(_xlfn.NORM.INV(SUM(F10:F11), 0, 1) + 1, 0, 1, TRUE), "")</f>
        <v>0.35941787583637586</v>
      </c>
      <c r="G8" s="99">
        <f>IFERROR(1-_xlfn.NORM.DIST(_xlfn.NORM.INV(SUM(G10:G11), 0, 1) + 1, 0, 1, TRUE), "")</f>
        <v>0.39141487086533644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0.35596320172424067</v>
      </c>
      <c r="D9" s="99">
        <f>IFERROR(_xlfn.NORM.DIST(_xlfn.NORM.INV(SUM(D10:D11), 0, 1) + 1, 0, 1, TRUE) - SUM(D10:D11), "")</f>
        <v>0.35596320172424067</v>
      </c>
      <c r="E9" s="99">
        <f>IFERROR(_xlfn.NORM.DIST(_xlfn.NORM.INV(SUM(E10:E11), 0, 1) + 1, 0, 1, TRUE) - SUM(E10:E11), "")</f>
        <v>0.38237759180607489</v>
      </c>
      <c r="F9" s="99">
        <f>IFERROR(_xlfn.NORM.DIST(_xlfn.NORM.INV(SUM(F10:F11), 0, 1) + 1, 0, 1, TRUE) - SUM(F10:F11), "")</f>
        <v>0.37949087696265865</v>
      </c>
      <c r="G9" s="99">
        <f>IFERROR(_xlfn.NORM.DIST(_xlfn.NORM.INV(SUM(G10:G11), 0, 1) + 1, 0, 1, TRUE) - SUM(G10:G11), "")</f>
        <v>0.37416481470347263</v>
      </c>
    </row>
    <row r="10" spans="1:15" ht="15.75" customHeight="1" x14ac:dyDescent="0.25">
      <c r="B10" s="69" t="s">
        <v>109</v>
      </c>
      <c r="C10" s="39">
        <v>0.242670312523842</v>
      </c>
      <c r="D10" s="39">
        <v>0.242670312523842</v>
      </c>
      <c r="E10" s="39">
        <v>0.106173828244209</v>
      </c>
      <c r="F10" s="39">
        <v>8.5183978080749498E-2</v>
      </c>
      <c r="G10" s="39">
        <v>9.2542201280593914E-2</v>
      </c>
    </row>
    <row r="11" spans="1:15" ht="15.75" customHeight="1" x14ac:dyDescent="0.25">
      <c r="B11" s="69" t="s">
        <v>110</v>
      </c>
      <c r="C11" s="39">
        <v>0.216907978057861</v>
      </c>
      <c r="D11" s="39">
        <v>0.216907978057861</v>
      </c>
      <c r="E11" s="39">
        <v>0.18300659954547899</v>
      </c>
      <c r="F11" s="39">
        <v>0.17590726912021601</v>
      </c>
      <c r="G11" s="39">
        <v>0.14187811315059701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0.53744121300000003</v>
      </c>
      <c r="D14" s="40">
        <v>0.52109150421700001</v>
      </c>
      <c r="E14" s="40">
        <v>0.52109150421700001</v>
      </c>
      <c r="F14" s="40">
        <v>0.50456223493399999</v>
      </c>
      <c r="G14" s="40">
        <v>0.50456223493399999</v>
      </c>
      <c r="H14" s="41">
        <v>0.376</v>
      </c>
      <c r="I14" s="41">
        <v>0.376</v>
      </c>
      <c r="J14" s="41">
        <v>0.376</v>
      </c>
      <c r="K14" s="41">
        <v>0.376</v>
      </c>
      <c r="L14" s="41">
        <v>0.32400000000000001</v>
      </c>
      <c r="M14" s="41">
        <v>0.32400000000000001</v>
      </c>
      <c r="N14" s="41">
        <v>0.32400000000000001</v>
      </c>
      <c r="O14" s="41">
        <v>0.32400000000000001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0.28583757169283702</v>
      </c>
      <c r="D15" s="99">
        <f t="shared" si="0"/>
        <v>0.27714199542630724</v>
      </c>
      <c r="E15" s="99">
        <f t="shared" si="0"/>
        <v>0.27714199542630724</v>
      </c>
      <c r="F15" s="99">
        <f t="shared" si="0"/>
        <v>0.26835092008741296</v>
      </c>
      <c r="G15" s="99">
        <f t="shared" si="0"/>
        <v>0.26835092008741296</v>
      </c>
      <c r="H15" s="99">
        <f t="shared" si="0"/>
        <v>0.19997522400000001</v>
      </c>
      <c r="I15" s="99">
        <f t="shared" si="0"/>
        <v>0.19997522400000001</v>
      </c>
      <c r="J15" s="99">
        <f t="shared" si="0"/>
        <v>0.19997522400000001</v>
      </c>
      <c r="K15" s="99">
        <f t="shared" si="0"/>
        <v>0.19997522400000001</v>
      </c>
      <c r="L15" s="99">
        <f t="shared" si="0"/>
        <v>0.17231907600000002</v>
      </c>
      <c r="M15" s="99">
        <f t="shared" si="0"/>
        <v>0.17231907600000002</v>
      </c>
      <c r="N15" s="99">
        <f t="shared" si="0"/>
        <v>0.17231907600000002</v>
      </c>
      <c r="O15" s="99">
        <f t="shared" si="0"/>
        <v>0.17231907600000002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3.7690944969654097E-2</v>
      </c>
      <c r="D2" s="39">
        <v>1.414378E-2</v>
      </c>
      <c r="E2" s="39"/>
      <c r="F2" s="39"/>
      <c r="G2" s="39"/>
    </row>
    <row r="3" spans="1:7" x14ac:dyDescent="0.25">
      <c r="B3" s="78" t="s">
        <v>120</v>
      </c>
      <c r="C3" s="39">
        <v>0.17248134315013899</v>
      </c>
      <c r="D3" s="39">
        <v>0.16339989999999999</v>
      </c>
      <c r="E3" s="39"/>
      <c r="F3" s="39"/>
      <c r="G3" s="39"/>
    </row>
    <row r="4" spans="1:7" x14ac:dyDescent="0.25">
      <c r="B4" s="78" t="s">
        <v>121</v>
      </c>
      <c r="C4" s="39">
        <v>0.72435212135314897</v>
      </c>
      <c r="D4" s="39">
        <v>0.73373260000000007</v>
      </c>
      <c r="E4" s="39">
        <v>0.68563437461852994</v>
      </c>
      <c r="F4" s="39">
        <v>0.38439062237739602</v>
      </c>
      <c r="G4" s="39"/>
    </row>
    <row r="5" spans="1:7" x14ac:dyDescent="0.25">
      <c r="B5" s="78" t="s">
        <v>122</v>
      </c>
      <c r="C5" s="100">
        <v>6.5475568175315899E-2</v>
      </c>
      <c r="D5" s="100">
        <v>8.8723711669444996E-2</v>
      </c>
      <c r="E5" s="100">
        <f>1-E2-E3-E4</f>
        <v>0.31436562538147006</v>
      </c>
      <c r="F5" s="100">
        <f>1-F2-F3-F4</f>
        <v>0.61560937762260393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2023-01-25T00:41:46Z</dcterms:modified>
</cp:coreProperties>
</file>