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6737A1BA-71DD-4B01-A232-256ACDF7398B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A4" i="2" l="1"/>
  <c r="A5" i="2" s="1"/>
  <c r="A6" i="2" s="1"/>
  <c r="A7" i="2" s="1"/>
  <c r="A8" i="2" s="1"/>
  <c r="A9" i="2" s="1"/>
  <c r="A10" i="2" s="1"/>
  <c r="A11" i="2" s="1"/>
  <c r="D58" i="20"/>
  <c r="A16" i="2"/>
  <c r="A26" i="2"/>
  <c r="A38" i="2"/>
  <c r="A12" i="2"/>
  <c r="A14" i="2"/>
  <c r="A18" i="2"/>
  <c r="A20" i="2"/>
  <c r="A22" i="2"/>
  <c r="A24" i="2"/>
  <c r="A28" i="2"/>
  <c r="A30" i="2"/>
  <c r="A32" i="2"/>
  <c r="A34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<sst xmlns="http://schemas.openxmlformats.org/spreadsheetml/2006/main" count="2093" uniqueCount="337">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</sst>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85694.57421875</v>
      </c>
    </row>
    <row r="8" spans="1:3" ht="15" customHeight="1" x14ac:dyDescent="0.25">
      <c r="B8" s="69" t="s">
        <v>8</v>
      </c>
      <c r="C8" s="32">
        <v>0.14000000000000001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0.85866676330566405</v>
      </c>
    </row>
    <row r="11" spans="1:3" ht="15" customHeight="1" x14ac:dyDescent="0.25">
      <c r="B11" s="69" t="s">
        <v>11</v>
      </c>
      <c r="C11" s="32">
        <v>0.86699999999999999</v>
      </c>
    </row>
    <row r="12" spans="1:3" ht="15" customHeight="1" x14ac:dyDescent="0.25">
      <c r="B12" s="69" t="s">
        <v>12</v>
      </c>
      <c r="C12" s="32">
        <v>0.83599999999999997</v>
      </c>
    </row>
    <row r="13" spans="1:3" ht="15" customHeight="1" x14ac:dyDescent="0.25">
      <c r="B13" s="69" t="s">
        <v>13</v>
      </c>
      <c r="C13" s="32">
        <v>0.47499999999999998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0.17369999999999999</v>
      </c>
    </row>
    <row r="24" spans="1:3" ht="15" customHeight="1" x14ac:dyDescent="0.25">
      <c r="B24" s="7" t="s">
        <v>22</v>
      </c>
      <c r="C24" s="33">
        <v>0.52529999999999999</v>
      </c>
    </row>
    <row r="25" spans="1:3" ht="15" customHeight="1" x14ac:dyDescent="0.25">
      <c r="B25" s="7" t="s">
        <v>23</v>
      </c>
      <c r="C25" s="33">
        <v>0.26540000000000002</v>
      </c>
    </row>
    <row r="26" spans="1:3" ht="15" customHeight="1" x14ac:dyDescent="0.25">
      <c r="B26" s="7" t="s">
        <v>24</v>
      </c>
      <c r="C26" s="33">
        <v>3.5600000000000007E-2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0.33107179959337901</v>
      </c>
    </row>
    <row r="30" spans="1:3" ht="14.25" customHeight="1" x14ac:dyDescent="0.25">
      <c r="B30" s="15" t="s">
        <v>27</v>
      </c>
      <c r="C30" s="42">
        <v>6.1996951218759998E-2</v>
      </c>
    </row>
    <row r="31" spans="1:3" ht="14.25" customHeight="1" x14ac:dyDescent="0.25">
      <c r="B31" s="15" t="s">
        <v>28</v>
      </c>
      <c r="C31" s="42">
        <v>0.10389744339792201</v>
      </c>
    </row>
    <row r="32" spans="1:3" ht="14.25" customHeight="1" x14ac:dyDescent="0.25">
      <c r="B32" s="15" t="s">
        <v>29</v>
      </c>
      <c r="C32" s="42">
        <v>0.50303380578993906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18.600199729681801</v>
      </c>
    </row>
    <row r="38" spans="1:5" ht="15" customHeight="1" x14ac:dyDescent="0.25">
      <c r="B38" s="65" t="s">
        <v>34</v>
      </c>
      <c r="C38" s="94">
        <v>24.4369814181773</v>
      </c>
      <c r="D38" s="5"/>
      <c r="E38" s="6"/>
    </row>
    <row r="39" spans="1:5" ht="15" customHeight="1" x14ac:dyDescent="0.25">
      <c r="B39" s="65" t="s">
        <v>35</v>
      </c>
      <c r="C39" s="94">
        <v>29.251238131398701</v>
      </c>
      <c r="D39" s="5"/>
      <c r="E39" s="5"/>
    </row>
    <row r="40" spans="1:5" ht="15" customHeight="1" x14ac:dyDescent="0.25">
      <c r="B40" s="65" t="s">
        <v>36</v>
      </c>
      <c r="C40" s="94">
        <v>1.69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13.826618249999999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2.7612899999999999E-2</v>
      </c>
      <c r="D45" s="5"/>
    </row>
    <row r="46" spans="1:5" ht="15.75" customHeight="1" x14ac:dyDescent="0.25">
      <c r="B46" s="65" t="s">
        <v>41</v>
      </c>
      <c r="C46" s="33">
        <v>0.10480929999999999</v>
      </c>
      <c r="D46" s="5"/>
    </row>
    <row r="47" spans="1:5" ht="15.75" customHeight="1" x14ac:dyDescent="0.25">
      <c r="B47" s="65" t="s">
        <v>42</v>
      </c>
      <c r="C47" s="33">
        <v>0.1632912</v>
      </c>
      <c r="D47" s="5"/>
      <c r="E47" s="6"/>
    </row>
    <row r="48" spans="1:5" ht="15" customHeight="1" x14ac:dyDescent="0.25">
      <c r="B48" s="65" t="s">
        <v>43</v>
      </c>
      <c r="C48" s="97">
        <v>0.70428659999999998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0.56878600000000001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0.15618451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0.67228820204958295</v>
      </c>
      <c r="C2" s="43">
        <v>0.95</v>
      </c>
      <c r="D2" s="86">
        <v>60.485902574974247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39.935189433056237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452.91394116290678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0.70869763079820258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0.208326640948057</v>
      </c>
      <c r="C10" s="43">
        <v>0.95</v>
      </c>
      <c r="D10" s="86">
        <v>13.067488876852151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0.208326640948057</v>
      </c>
      <c r="C11" s="43">
        <v>0.95</v>
      </c>
      <c r="D11" s="86">
        <v>13.067488876852151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0.208326640948057</v>
      </c>
      <c r="C12" s="43">
        <v>0.95</v>
      </c>
      <c r="D12" s="86">
        <v>13.067488876852151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0.208326640948057</v>
      </c>
      <c r="C13" s="43">
        <v>0.95</v>
      </c>
      <c r="D13" s="86">
        <v>13.067488876852151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0.208326640948057</v>
      </c>
      <c r="C14" s="43">
        <v>0.95</v>
      </c>
      <c r="D14" s="86">
        <v>13.067488876852151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0.208326640948057</v>
      </c>
      <c r="C15" s="43">
        <v>0.95</v>
      </c>
      <c r="D15" s="86">
        <v>13.067488876852151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0.77775449539503461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6.8862699999999999E-2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10.429698010738489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10.429698010738489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0.92731700000000006</v>
      </c>
      <c r="C21" s="43">
        <v>0.95</v>
      </c>
      <c r="D21" s="86">
        <v>7.1524381906876151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22.579312803378102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4.3139060578863351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0.23440626394299999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0.16248176726490299</v>
      </c>
      <c r="C27" s="43">
        <v>0.95</v>
      </c>
      <c r="D27" s="86">
        <v>18.690391823443861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0.85763101501516403</v>
      </c>
      <c r="C29" s="43">
        <v>0.95</v>
      </c>
      <c r="D29" s="86">
        <v>119.254602366377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1.867912036673709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1.8211079840000002E-2</v>
      </c>
      <c r="C32" s="43">
        <v>0.95</v>
      </c>
      <c r="D32" s="86">
        <v>1.6681309666930351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0.43048805239999999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5.2999999999999999E-2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2.4011122949653489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0.65359572419241407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0.12967841550707809</v>
      </c>
      <c r="C3" s="13">
        <f>frac_mam_1_5months * 2.6</f>
        <v>0.12967841550707809</v>
      </c>
      <c r="D3" s="13">
        <f>frac_mam_6_11months * 2.6</f>
        <v>0.15177383050322532</v>
      </c>
      <c r="E3" s="13">
        <f>frac_mam_12_23months * 2.6</f>
        <v>9.3613449484109879E-2</v>
      </c>
      <c r="F3" s="13">
        <f>frac_mam_24_59months * 2.6</f>
        <v>0.12608858421444893</v>
      </c>
    </row>
    <row r="4" spans="1:6" ht="15.75" customHeight="1" x14ac:dyDescent="0.25">
      <c r="A4" s="78" t="s">
        <v>204</v>
      </c>
      <c r="B4" s="13">
        <f>frac_sam_1month * 2.6</f>
        <v>5.9378301724791402E-2</v>
      </c>
      <c r="C4" s="13">
        <f>frac_sam_1_5months * 2.6</f>
        <v>5.9378301724791402E-2</v>
      </c>
      <c r="D4" s="13">
        <f>frac_sam_6_11months * 2.6</f>
        <v>4.9492134153842904E-2</v>
      </c>
      <c r="E4" s="13">
        <f>frac_sam_12_23months * 2.6</f>
        <v>4.3826863542199147E-2</v>
      </c>
      <c r="F4" s="13">
        <f>frac_sam_24_59months * 2.6</f>
        <v>4.17029663920402E-2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0.14000000000000001</v>
      </c>
      <c r="E2" s="47">
        <f>food_insecure</f>
        <v>0.14000000000000001</v>
      </c>
      <c r="F2" s="47">
        <f>food_insecure</f>
        <v>0.14000000000000001</v>
      </c>
      <c r="G2" s="47">
        <f>food_insecure</f>
        <v>0.14000000000000001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0.14000000000000001</v>
      </c>
      <c r="F5" s="47">
        <f>food_insecure</f>
        <v>0.14000000000000001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0.14000000000000001</v>
      </c>
      <c r="F8" s="47">
        <f>food_insecure</f>
        <v>0.14000000000000001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0.14000000000000001</v>
      </c>
      <c r="F9" s="47">
        <f>food_insecure</f>
        <v>0.14000000000000001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0.83599999999999997</v>
      </c>
      <c r="E10" s="47">
        <f>IF(ISBLANK(comm_deliv), frac_children_health_facility,1)</f>
        <v>0.83599999999999997</v>
      </c>
      <c r="F10" s="47">
        <f>IF(ISBLANK(comm_deliv), frac_children_health_facility,1)</f>
        <v>0.83599999999999997</v>
      </c>
      <c r="G10" s="47">
        <f>IF(ISBLANK(comm_deliv), frac_children_health_facility,1)</f>
        <v>0.83599999999999997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0.14000000000000001</v>
      </c>
      <c r="I15" s="47">
        <f>food_insecure</f>
        <v>0.14000000000000001</v>
      </c>
      <c r="J15" s="47">
        <f>food_insecure</f>
        <v>0.14000000000000001</v>
      </c>
      <c r="K15" s="47">
        <f>food_insecure</f>
        <v>0.14000000000000001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0.86699999999999999</v>
      </c>
      <c r="I18" s="47">
        <f>frac_PW_health_facility</f>
        <v>0.86699999999999999</v>
      </c>
      <c r="J18" s="47">
        <f>frac_PW_health_facility</f>
        <v>0.86699999999999999</v>
      </c>
      <c r="K18" s="47">
        <f>frac_PW_health_facility</f>
        <v>0.86699999999999999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0.47499999999999998</v>
      </c>
      <c r="M24" s="47">
        <f>famplan_unmet_need</f>
        <v>0.47499999999999998</v>
      </c>
      <c r="N24" s="47">
        <f>famplan_unmet_need</f>
        <v>0.47499999999999998</v>
      </c>
      <c r="O24" s="47">
        <f>famplan_unmet_need</f>
        <v>0.47499999999999998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7.3408483139038097E-2</v>
      </c>
      <c r="M25" s="47">
        <f>(1-food_insecure)*(0.49)+food_insecure*(0.7)</f>
        <v>0.51939999999999997</v>
      </c>
      <c r="N25" s="47">
        <f>(1-food_insecure)*(0.49)+food_insecure*(0.7)</f>
        <v>0.51939999999999997</v>
      </c>
      <c r="O25" s="47">
        <f>(1-food_insecure)*(0.49)+food_insecure*(0.7)</f>
        <v>0.51939999999999997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3.1460778488159181E-2</v>
      </c>
      <c r="M26" s="47">
        <f>(1-food_insecure)*(0.21)+food_insecure*(0.3)</f>
        <v>0.22259999999999999</v>
      </c>
      <c r="N26" s="47">
        <f>(1-food_insecure)*(0.21)+food_insecure*(0.3)</f>
        <v>0.22259999999999999</v>
      </c>
      <c r="O26" s="47">
        <f>(1-food_insecure)*(0.21)+food_insecure*(0.3)</f>
        <v>0.22259999999999999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3.6463975067138679E-2</v>
      </c>
      <c r="M27" s="47">
        <f>(1-food_insecure)*(0.3)</f>
        <v>0.25800000000000001</v>
      </c>
      <c r="N27" s="47">
        <f>(1-food_insecure)*(0.3)</f>
        <v>0.25800000000000001</v>
      </c>
      <c r="O27" s="47">
        <f>(1-food_insecure)*(0.3)</f>
        <v>0.25800000000000001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0.85866676330566405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15459.888000000001</v>
      </c>
      <c r="C2" s="37">
        <v>36000</v>
      </c>
      <c r="D2" s="37">
        <v>73000</v>
      </c>
      <c r="E2" s="37">
        <v>46000</v>
      </c>
      <c r="F2" s="37">
        <v>48000</v>
      </c>
      <c r="G2" s="9">
        <f t="shared" ref="G2:G40" si="0">C2+D2+E2+F2</f>
        <v>203000</v>
      </c>
      <c r="H2" s="9">
        <f t="shared" ref="H2:H40" si="1">(B2 + stillbirth*B2/(1000-stillbirth))/(1-abortion)</f>
        <v>17814.366997291494</v>
      </c>
      <c r="I2" s="9">
        <f t="shared" ref="I2:I40" si="2">G2-H2</f>
        <v>185185.63300270849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15323.0622</v>
      </c>
      <c r="C3" s="37">
        <v>35000</v>
      </c>
      <c r="D3" s="37">
        <v>73000</v>
      </c>
      <c r="E3" s="37">
        <v>48000</v>
      </c>
      <c r="F3" s="37">
        <v>49000</v>
      </c>
      <c r="G3" s="9">
        <f t="shared" si="0"/>
        <v>205000</v>
      </c>
      <c r="H3" s="9">
        <f t="shared" si="1"/>
        <v>17656.703176188908</v>
      </c>
      <c r="I3" s="9">
        <f t="shared" si="2"/>
        <v>187343.29682381108</v>
      </c>
    </row>
    <row r="4" spans="1:9" ht="15.75" customHeight="1" x14ac:dyDescent="0.25">
      <c r="A4" s="69">
        <f t="shared" si="3"/>
        <v>2023</v>
      </c>
      <c r="B4" s="36">
        <v>15184.087600000001</v>
      </c>
      <c r="C4" s="37">
        <v>35000</v>
      </c>
      <c r="D4" s="37">
        <v>72000</v>
      </c>
      <c r="E4" s="37">
        <v>49000</v>
      </c>
      <c r="F4" s="37">
        <v>49000</v>
      </c>
      <c r="G4" s="9">
        <f t="shared" si="0"/>
        <v>205000</v>
      </c>
      <c r="H4" s="9">
        <f t="shared" si="1"/>
        <v>17496.563301456194</v>
      </c>
      <c r="I4" s="9">
        <f t="shared" si="2"/>
        <v>187503.43669854381</v>
      </c>
    </row>
    <row r="5" spans="1:9" ht="15.75" customHeight="1" x14ac:dyDescent="0.25">
      <c r="A5" s="69">
        <f t="shared" si="3"/>
        <v>2024</v>
      </c>
      <c r="B5" s="36">
        <v>15042.9642</v>
      </c>
      <c r="C5" s="37">
        <v>34000</v>
      </c>
      <c r="D5" s="37">
        <v>70000</v>
      </c>
      <c r="E5" s="37">
        <v>51000</v>
      </c>
      <c r="F5" s="37">
        <v>48000</v>
      </c>
      <c r="G5" s="9">
        <f t="shared" si="0"/>
        <v>203000</v>
      </c>
      <c r="H5" s="9">
        <f t="shared" si="1"/>
        <v>17333.947373093353</v>
      </c>
      <c r="I5" s="9">
        <f t="shared" si="2"/>
        <v>185666.05262690666</v>
      </c>
    </row>
    <row r="6" spans="1:9" ht="15.75" customHeight="1" x14ac:dyDescent="0.25">
      <c r="A6" s="69">
        <f t="shared" si="3"/>
        <v>2025</v>
      </c>
      <c r="B6" s="36">
        <v>14899.691999999999</v>
      </c>
      <c r="C6" s="37">
        <v>34000</v>
      </c>
      <c r="D6" s="37">
        <v>69000</v>
      </c>
      <c r="E6" s="37">
        <v>53000</v>
      </c>
      <c r="F6" s="37">
        <v>47000</v>
      </c>
      <c r="G6" s="9">
        <f t="shared" si="0"/>
        <v>203000</v>
      </c>
      <c r="H6" s="9">
        <f t="shared" si="1"/>
        <v>17168.85539110038</v>
      </c>
      <c r="I6" s="9">
        <f t="shared" si="2"/>
        <v>185831.14460889963</v>
      </c>
    </row>
    <row r="7" spans="1:9" ht="15.75" customHeight="1" x14ac:dyDescent="0.25">
      <c r="A7" s="69">
        <f t="shared" si="3"/>
        <v>2026</v>
      </c>
      <c r="B7" s="36">
        <v>14735.6792</v>
      </c>
      <c r="C7" s="37">
        <v>33000</v>
      </c>
      <c r="D7" s="37">
        <v>68000</v>
      </c>
      <c r="E7" s="37">
        <v>55000</v>
      </c>
      <c r="F7" s="37">
        <v>46000</v>
      </c>
      <c r="G7" s="9">
        <f t="shared" si="0"/>
        <v>202000</v>
      </c>
      <c r="H7" s="9">
        <f t="shared" si="1"/>
        <v>16979.864098831422</v>
      </c>
      <c r="I7" s="9">
        <f t="shared" si="2"/>
        <v>185020.13590116857</v>
      </c>
    </row>
    <row r="8" spans="1:9" ht="15.75" customHeight="1" x14ac:dyDescent="0.25">
      <c r="A8" s="69">
        <f t="shared" si="3"/>
        <v>2027</v>
      </c>
      <c r="B8" s="36">
        <v>14570.0512</v>
      </c>
      <c r="C8" s="37">
        <v>33000</v>
      </c>
      <c r="D8" s="37">
        <v>67000</v>
      </c>
      <c r="E8" s="37">
        <v>58000</v>
      </c>
      <c r="F8" s="37">
        <v>45000</v>
      </c>
      <c r="G8" s="9">
        <f t="shared" si="0"/>
        <v>203000</v>
      </c>
      <c r="H8" s="9">
        <f t="shared" si="1"/>
        <v>16789.011618074292</v>
      </c>
      <c r="I8" s="9">
        <f t="shared" si="2"/>
        <v>186210.98838192571</v>
      </c>
    </row>
    <row r="9" spans="1:9" ht="15.75" customHeight="1" x14ac:dyDescent="0.25">
      <c r="A9" s="69">
        <f t="shared" si="3"/>
        <v>2028</v>
      </c>
      <c r="B9" s="36">
        <v>14402.808000000001</v>
      </c>
      <c r="C9" s="37">
        <v>34000</v>
      </c>
      <c r="D9" s="37">
        <v>65000</v>
      </c>
      <c r="E9" s="37">
        <v>61000</v>
      </c>
      <c r="F9" s="37">
        <v>44000</v>
      </c>
      <c r="G9" s="9">
        <f t="shared" si="0"/>
        <v>204000</v>
      </c>
      <c r="H9" s="9">
        <f t="shared" si="1"/>
        <v>16596.297948828989</v>
      </c>
      <c r="I9" s="9">
        <f t="shared" si="2"/>
        <v>187403.70205117101</v>
      </c>
    </row>
    <row r="10" spans="1:9" ht="15.75" customHeight="1" x14ac:dyDescent="0.25">
      <c r="A10" s="69">
        <f t="shared" si="3"/>
        <v>2029</v>
      </c>
      <c r="B10" s="36">
        <v>14233.9496</v>
      </c>
      <c r="C10" s="37">
        <v>34000</v>
      </c>
      <c r="D10" s="37">
        <v>65000</v>
      </c>
      <c r="E10" s="37">
        <v>62000</v>
      </c>
      <c r="F10" s="37">
        <v>42000</v>
      </c>
      <c r="G10" s="9">
        <f t="shared" si="0"/>
        <v>203000</v>
      </c>
      <c r="H10" s="9">
        <f t="shared" si="1"/>
        <v>16401.723091095515</v>
      </c>
      <c r="I10" s="9">
        <f t="shared" si="2"/>
        <v>186598.27690890449</v>
      </c>
    </row>
    <row r="11" spans="1:9" ht="15.75" customHeight="1" x14ac:dyDescent="0.25">
      <c r="A11" s="69">
        <f t="shared" si="3"/>
        <v>2030</v>
      </c>
      <c r="B11" s="36">
        <v>14046.45</v>
      </c>
      <c r="C11" s="37">
        <v>34000</v>
      </c>
      <c r="D11" s="37">
        <v>63000</v>
      </c>
      <c r="E11" s="37">
        <v>64000</v>
      </c>
      <c r="F11" s="37">
        <v>43000</v>
      </c>
      <c r="G11" s="9">
        <f t="shared" si="0"/>
        <v>204000</v>
      </c>
      <c r="H11" s="9">
        <f t="shared" si="1"/>
        <v>16185.668053294119</v>
      </c>
      <c r="I11" s="9">
        <f t="shared" si="2"/>
        <v>187814.33194670588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2972923.6623843624</v>
      </c>
      <c r="I12" s="9">
        <f t="shared" si="2"/>
        <v>15610745.337615637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3030538.4620429743</v>
      </c>
      <c r="I13" s="9">
        <f t="shared" si="2"/>
        <v>16144041.537957026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3099676.2216333076</v>
      </c>
      <c r="I14" s="9">
        <f t="shared" si="2"/>
        <v>16676579.778366692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3157291.0212919195</v>
      </c>
      <c r="I15" s="9">
        <f t="shared" si="2"/>
        <v>17229436.978708081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0.17755389521953291</v>
      </c>
    </row>
    <row r="5" spans="1:8" ht="15.75" customHeight="1" x14ac:dyDescent="0.25">
      <c r="B5" s="11" t="s">
        <v>70</v>
      </c>
      <c r="C5" s="38">
        <v>4.8224996806353983E-2</v>
      </c>
    </row>
    <row r="6" spans="1:8" ht="15.75" customHeight="1" x14ac:dyDescent="0.25">
      <c r="B6" s="11" t="s">
        <v>71</v>
      </c>
      <c r="C6" s="38">
        <v>0.22933059814212961</v>
      </c>
    </row>
    <row r="7" spans="1:8" ht="15.75" customHeight="1" x14ac:dyDescent="0.25">
      <c r="B7" s="11" t="s">
        <v>72</v>
      </c>
      <c r="C7" s="38">
        <v>0.31537747942793543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0.10889232299517181</v>
      </c>
    </row>
    <row r="10" spans="1:8" ht="15.75" customHeight="1" x14ac:dyDescent="0.25">
      <c r="B10" s="11" t="s">
        <v>75</v>
      </c>
      <c r="C10" s="38">
        <v>0.1206207074088763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9.4827146151581304E-2</v>
      </c>
      <c r="D14" s="38">
        <v>9.4827146151581304E-2</v>
      </c>
      <c r="E14" s="38">
        <v>9.4827146151581304E-2</v>
      </c>
      <c r="F14" s="38">
        <v>9.4827146151581304E-2</v>
      </c>
    </row>
    <row r="15" spans="1:8" ht="15.75" customHeight="1" x14ac:dyDescent="0.25">
      <c r="B15" s="11" t="s">
        <v>82</v>
      </c>
      <c r="C15" s="38">
        <v>0.16152400212526699</v>
      </c>
      <c r="D15" s="38">
        <v>0.16152400212526699</v>
      </c>
      <c r="E15" s="38">
        <v>0.16152400212526699</v>
      </c>
      <c r="F15" s="38">
        <v>0.16152400212526699</v>
      </c>
    </row>
    <row r="16" spans="1:8" ht="15.75" customHeight="1" x14ac:dyDescent="0.25">
      <c r="B16" s="11" t="s">
        <v>83</v>
      </c>
      <c r="C16" s="38">
        <v>3.073145596003013E-2</v>
      </c>
      <c r="D16" s="38">
        <v>3.073145596003013E-2</v>
      </c>
      <c r="E16" s="38">
        <v>3.073145596003013E-2</v>
      </c>
      <c r="F16" s="38">
        <v>3.073145596003013E-2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2.4454213757058078E-2</v>
      </c>
      <c r="D18" s="38">
        <v>2.4454213757058078E-2</v>
      </c>
      <c r="E18" s="38">
        <v>2.4454213757058078E-2</v>
      </c>
      <c r="F18" s="38">
        <v>2.4454213757058078E-2</v>
      </c>
    </row>
    <row r="19" spans="1:8" ht="15.75" customHeight="1" x14ac:dyDescent="0.25">
      <c r="B19" s="11" t="s">
        <v>86</v>
      </c>
      <c r="C19" s="38">
        <v>0</v>
      </c>
      <c r="D19" s="38">
        <v>0</v>
      </c>
      <c r="E19" s="38">
        <v>0</v>
      </c>
      <c r="F19" s="38">
        <v>0</v>
      </c>
    </row>
    <row r="20" spans="1:8" ht="15.75" customHeight="1" x14ac:dyDescent="0.25">
      <c r="B20" s="11" t="s">
        <v>87</v>
      </c>
      <c r="C20" s="38">
        <v>7.2353682636764033E-2</v>
      </c>
      <c r="D20" s="38">
        <v>7.2353682636764033E-2</v>
      </c>
      <c r="E20" s="38">
        <v>7.2353682636764033E-2</v>
      </c>
      <c r="F20" s="38">
        <v>7.2353682636764033E-2</v>
      </c>
    </row>
    <row r="21" spans="1:8" ht="15.75" customHeight="1" x14ac:dyDescent="0.25">
      <c r="B21" s="11" t="s">
        <v>88</v>
      </c>
      <c r="C21" s="38">
        <v>0.19440803624664019</v>
      </c>
      <c r="D21" s="38">
        <v>0.19440803624664019</v>
      </c>
      <c r="E21" s="38">
        <v>0.19440803624664019</v>
      </c>
      <c r="F21" s="38">
        <v>0.19440803624664019</v>
      </c>
    </row>
    <row r="22" spans="1:8" ht="15.75" customHeight="1" x14ac:dyDescent="0.25">
      <c r="B22" s="11" t="s">
        <v>89</v>
      </c>
      <c r="C22" s="38">
        <v>0.42170146312265933</v>
      </c>
      <c r="D22" s="38">
        <v>0.42170146312265933</v>
      </c>
      <c r="E22" s="38">
        <v>0.42170146312265933</v>
      </c>
      <c r="F22" s="38">
        <v>0.42170146312265933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5.6908684000000001E-2</v>
      </c>
    </row>
    <row r="27" spans="1:8" ht="15.75" customHeight="1" x14ac:dyDescent="0.25">
      <c r="B27" s="11" t="s">
        <v>92</v>
      </c>
      <c r="C27" s="38">
        <v>0.147893197</v>
      </c>
    </row>
    <row r="28" spans="1:8" ht="15.75" customHeight="1" x14ac:dyDescent="0.25">
      <c r="B28" s="11" t="s">
        <v>93</v>
      </c>
      <c r="C28" s="38">
        <v>0.14146481499999999</v>
      </c>
    </row>
    <row r="29" spans="1:8" ht="15.75" customHeight="1" x14ac:dyDescent="0.25">
      <c r="B29" s="11" t="s">
        <v>94</v>
      </c>
      <c r="C29" s="38">
        <v>0.127987182</v>
      </c>
    </row>
    <row r="30" spans="1:8" ht="15.75" customHeight="1" x14ac:dyDescent="0.25">
      <c r="B30" s="11" t="s">
        <v>95</v>
      </c>
      <c r="C30" s="38">
        <v>5.0805205000000013E-2</v>
      </c>
    </row>
    <row r="31" spans="1:8" ht="15.75" customHeight="1" x14ac:dyDescent="0.25">
      <c r="B31" s="11" t="s">
        <v>96</v>
      </c>
      <c r="C31" s="38">
        <v>0.14241514399999999</v>
      </c>
    </row>
    <row r="32" spans="1:8" ht="15.75" customHeight="1" x14ac:dyDescent="0.25">
      <c r="B32" s="11" t="s">
        <v>97</v>
      </c>
      <c r="C32" s="38">
        <v>2.5668638000000001E-2</v>
      </c>
    </row>
    <row r="33" spans="2:3" ht="15.75" customHeight="1" x14ac:dyDescent="0.25">
      <c r="B33" s="11" t="s">
        <v>98</v>
      </c>
      <c r="C33" s="38">
        <v>0.108201272</v>
      </c>
    </row>
    <row r="34" spans="2:3" ht="15.75" customHeight="1" x14ac:dyDescent="0.25">
      <c r="B34" s="11" t="s">
        <v>99</v>
      </c>
      <c r="C34" s="38">
        <v>0.19865586199999999</v>
      </c>
    </row>
    <row r="35" spans="2:3" ht="15.75" customHeight="1" x14ac:dyDescent="0.25">
      <c r="B35" s="16" t="s">
        <v>30</v>
      </c>
      <c r="C35" s="98">
        <f>SUM(C26:C34)</f>
        <v>0.99999999899999992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0.53827388895654693</v>
      </c>
      <c r="D2" s="99">
        <f>IFERROR(1-_xlfn.NORM.DIST(_xlfn.NORM.INV(SUM(D4:D5), 0, 1) + 1, 0, 1, TRUE), "")</f>
        <v>0.53827388895654693</v>
      </c>
      <c r="E2" s="99">
        <f>IFERROR(1-_xlfn.NORM.DIST(_xlfn.NORM.INV(SUM(E4:E5), 0, 1) + 1, 0, 1, TRUE), "")</f>
        <v>0.71076773296385298</v>
      </c>
      <c r="F2" s="99">
        <f>IFERROR(1-_xlfn.NORM.DIST(_xlfn.NORM.INV(SUM(F4:F5), 0, 1) + 1, 0, 1, TRUE), "")</f>
        <v>0.55924538298926274</v>
      </c>
      <c r="G2" s="99">
        <f>IFERROR(1-_xlfn.NORM.DIST(_xlfn.NORM.INV(SUM(G4:G5), 0, 1) + 1, 0, 1, TRUE), "")</f>
        <v>0.58122893897204697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0.32520555393791178</v>
      </c>
      <c r="D3" s="99">
        <f>IFERROR(_xlfn.NORM.DIST(_xlfn.NORM.INV(SUM(D4:D5), 0, 1) + 1, 0, 1, TRUE) - SUM(D4:D5), "")</f>
        <v>0.32520555393791178</v>
      </c>
      <c r="E3" s="99">
        <f>IFERROR(_xlfn.NORM.DIST(_xlfn.NORM.INV(SUM(E4:E5), 0, 1) + 1, 0, 1, TRUE) - SUM(E4:E5), "")</f>
        <v>0.22933409220264062</v>
      </c>
      <c r="F3" s="99">
        <f>IFERROR(_xlfn.NORM.DIST(_xlfn.NORM.INV(SUM(F4:F5), 0, 1) + 1, 0, 1, TRUE) - SUM(F4:F5), "")</f>
        <v>0.3154882270894297</v>
      </c>
      <c r="G3" s="99">
        <f>IFERROR(_xlfn.NORM.DIST(_xlfn.NORM.INV(SUM(G4:G5), 0, 1) + 1, 0, 1, TRUE) - SUM(G4:G5), "")</f>
        <v>0.30467682229966819</v>
      </c>
    </row>
    <row r="4" spans="1:15" ht="15.75" customHeight="1" x14ac:dyDescent="0.25">
      <c r="B4" s="69" t="s">
        <v>104</v>
      </c>
      <c r="C4" s="39">
        <v>8.3319872617721599E-2</v>
      </c>
      <c r="D4" s="39">
        <v>8.3319872617721599E-2</v>
      </c>
      <c r="E4" s="39">
        <v>5.2147090435028097E-2</v>
      </c>
      <c r="F4" s="39">
        <v>9.5849700272083296E-2</v>
      </c>
      <c r="G4" s="39">
        <v>8.1147387623786912E-2</v>
      </c>
    </row>
    <row r="5" spans="1:15" ht="15.75" customHeight="1" x14ac:dyDescent="0.25">
      <c r="B5" s="69" t="s">
        <v>105</v>
      </c>
      <c r="C5" s="39">
        <v>5.3200684487819699E-2</v>
      </c>
      <c r="D5" s="39">
        <v>5.3200684487819699E-2</v>
      </c>
      <c r="E5" s="39">
        <v>7.7510843984782999E-3</v>
      </c>
      <c r="F5" s="39">
        <v>2.9416689649224299E-2</v>
      </c>
      <c r="G5" s="39">
        <v>3.2946851104497903E-2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0.67575867950727309</v>
      </c>
      <c r="D8" s="99">
        <f>IFERROR(1-_xlfn.NORM.DIST(_xlfn.NORM.INV(SUM(D10:D11), 0, 1) + 1, 0, 1, TRUE), "")</f>
        <v>0.67575867950727309</v>
      </c>
      <c r="E8" s="99">
        <f>IFERROR(1-_xlfn.NORM.DIST(_xlfn.NORM.INV(SUM(E10:E11), 0, 1) + 1, 0, 1, TRUE), "")</f>
        <v>0.66374690745494114</v>
      </c>
      <c r="F8" s="99">
        <f>IFERROR(1-_xlfn.NORM.DIST(_xlfn.NORM.INV(SUM(F10:F11), 0, 1) + 1, 0, 1, TRUE), "")</f>
        <v>0.73161948063728466</v>
      </c>
      <c r="G8" s="99">
        <f>IFERROR(1-_xlfn.NORM.DIST(_xlfn.NORM.INV(SUM(G10:G11), 0, 1) + 1, 0, 1, TRUE), "")</f>
        <v>0.6976933452107571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0.25152719848046945</v>
      </c>
      <c r="D9" s="99">
        <f>IFERROR(_xlfn.NORM.DIST(_xlfn.NORM.INV(SUM(D10:D11), 0, 1) + 1, 0, 1, TRUE) - SUM(D10:D11), "")</f>
        <v>0.25152719848046945</v>
      </c>
      <c r="E9" s="99">
        <f>IFERROR(_xlfn.NORM.DIST(_xlfn.NORM.INV(SUM(E10:E11), 0, 1) + 1, 0, 1, TRUE) - SUM(E10:E11), "")</f>
        <v>0.25884310613849415</v>
      </c>
      <c r="F9" s="99">
        <f>IFERROR(_xlfn.NORM.DIST(_xlfn.NORM.INV(SUM(F10:F11), 0, 1) + 1, 0, 1, TRUE) - SUM(F10:F11), "")</f>
        <v>0.21551886050644264</v>
      </c>
      <c r="G9" s="99">
        <f>IFERROR(_xlfn.NORM.DIST(_xlfn.NORM.INV(SUM(G10:G11), 0, 1) + 1, 0, 1, TRUE) - SUM(G10:G11), "")</f>
        <v>0.23777144301751632</v>
      </c>
    </row>
    <row r="10" spans="1:15" ht="15.75" customHeight="1" x14ac:dyDescent="0.25">
      <c r="B10" s="69" t="s">
        <v>109</v>
      </c>
      <c r="C10" s="39">
        <v>4.9876313656568499E-2</v>
      </c>
      <c r="D10" s="39">
        <v>4.9876313656568499E-2</v>
      </c>
      <c r="E10" s="39">
        <v>5.8374550193548203E-2</v>
      </c>
      <c r="F10" s="39">
        <v>3.6005172878503799E-2</v>
      </c>
      <c r="G10" s="39">
        <v>4.8495609313249588E-2</v>
      </c>
    </row>
    <row r="11" spans="1:15" ht="15.75" customHeight="1" x14ac:dyDescent="0.25">
      <c r="B11" s="69" t="s">
        <v>110</v>
      </c>
      <c r="C11" s="39">
        <v>2.2837808355689E-2</v>
      </c>
      <c r="D11" s="39">
        <v>2.2837808355689E-2</v>
      </c>
      <c r="E11" s="39">
        <v>1.90354362130165E-2</v>
      </c>
      <c r="F11" s="39">
        <v>1.6856485977768901E-2</v>
      </c>
      <c r="G11" s="39">
        <v>1.6039602458476999E-2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0.60847067900000007</v>
      </c>
      <c r="D14" s="40">
        <v>0.58133804313699999</v>
      </c>
      <c r="E14" s="40">
        <v>0.58133804313699999</v>
      </c>
      <c r="F14" s="40">
        <v>0.34640304007799999</v>
      </c>
      <c r="G14" s="40">
        <v>0.34640304007799999</v>
      </c>
      <c r="H14" s="41">
        <v>0.29099999999999998</v>
      </c>
      <c r="I14" s="41">
        <v>0.29099999999999998</v>
      </c>
      <c r="J14" s="41">
        <v>0.29099999999999998</v>
      </c>
      <c r="K14" s="41">
        <v>0.29099999999999998</v>
      </c>
      <c r="L14" s="41">
        <v>0.32500000000000001</v>
      </c>
      <c r="M14" s="41">
        <v>0.32500000000000001</v>
      </c>
      <c r="N14" s="41">
        <v>0.32500000000000001</v>
      </c>
      <c r="O14" s="41">
        <v>0.32500000000000001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0.34608960362569408</v>
      </c>
      <c r="D15" s="99">
        <f t="shared" si="0"/>
        <v>0.33065694020372166</v>
      </c>
      <c r="E15" s="99">
        <f t="shared" si="0"/>
        <v>0.33065694020372166</v>
      </c>
      <c r="F15" s="99">
        <f t="shared" si="0"/>
        <v>0.1970291995538053</v>
      </c>
      <c r="G15" s="99">
        <f t="shared" si="0"/>
        <v>0.1970291995538053</v>
      </c>
      <c r="H15" s="99">
        <f t="shared" si="0"/>
        <v>0.165516726</v>
      </c>
      <c r="I15" s="99">
        <f t="shared" si="0"/>
        <v>0.165516726</v>
      </c>
      <c r="J15" s="99">
        <f t="shared" si="0"/>
        <v>0.165516726</v>
      </c>
      <c r="K15" s="99">
        <f t="shared" si="0"/>
        <v>0.165516726</v>
      </c>
      <c r="L15" s="99">
        <f t="shared" si="0"/>
        <v>0.18485545</v>
      </c>
      <c r="M15" s="99">
        <f t="shared" si="0"/>
        <v>0.18485545</v>
      </c>
      <c r="N15" s="99">
        <f t="shared" si="0"/>
        <v>0.18485545</v>
      </c>
      <c r="O15" s="99">
        <f t="shared" si="0"/>
        <v>0.18485545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0.38757833838462802</v>
      </c>
      <c r="D2" s="39">
        <v>0.2237922</v>
      </c>
      <c r="E2" s="39"/>
      <c r="F2" s="39"/>
      <c r="G2" s="39"/>
    </row>
    <row r="3" spans="1:7" x14ac:dyDescent="0.25">
      <c r="B3" s="78" t="s">
        <v>120</v>
      </c>
      <c r="C3" s="39">
        <v>0.19070751965045901</v>
      </c>
      <c r="D3" s="39">
        <v>0.130911</v>
      </c>
      <c r="E3" s="39"/>
      <c r="F3" s="39"/>
      <c r="G3" s="39"/>
    </row>
    <row r="4" spans="1:7" x14ac:dyDescent="0.25">
      <c r="B4" s="78" t="s">
        <v>121</v>
      </c>
      <c r="C4" s="39">
        <v>0.37630134820938099</v>
      </c>
      <c r="D4" s="39">
        <v>0.50229999999999997</v>
      </c>
      <c r="E4" s="39">
        <v>0.63804256916046098</v>
      </c>
      <c r="F4" s="39">
        <v>0.45998138189315801</v>
      </c>
      <c r="G4" s="39"/>
    </row>
    <row r="5" spans="1:7" x14ac:dyDescent="0.25">
      <c r="B5" s="78" t="s">
        <v>122</v>
      </c>
      <c r="C5" s="100">
        <v>4.5412778854370103E-2</v>
      </c>
      <c r="D5" s="100">
        <v>0.14299689233303101</v>
      </c>
      <c r="E5" s="100">
        <f>1-E2-E3-E4</f>
        <v>0.36195743083953902</v>
      </c>
      <c r="F5" s="100">
        <f>1-F2-F3-F4</f>
        <v>0.54001861810684204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2023-01-25T00:42:33Z</dcterms:modified>
</cp:coreProperties>
</file>