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AB9F76A1-BB4B-44C8-8340-CADA46DFE7C7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<sst xmlns="http://schemas.openxmlformats.org/spreadsheetml/2006/main" count="2093" uniqueCount="337">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</sst>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2662118.75</v>
      </c>
    </row>
    <row r="8" spans="1:3" ht="15" customHeight="1" x14ac:dyDescent="0.25">
      <c r="B8" s="69" t="s">
        <v>8</v>
      </c>
      <c r="C8" s="32">
        <v>0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0.77999130249023396</v>
      </c>
    </row>
    <row r="11" spans="1:3" ht="15" customHeight="1" x14ac:dyDescent="0.25">
      <c r="B11" s="69" t="s">
        <v>11</v>
      </c>
      <c r="C11" s="32">
        <v>0.62</v>
      </c>
    </row>
    <row r="12" spans="1:3" ht="15" customHeight="1" x14ac:dyDescent="0.25">
      <c r="B12" s="69" t="s">
        <v>12</v>
      </c>
      <c r="C12" s="32">
        <v>0.72</v>
      </c>
    </row>
    <row r="13" spans="1:3" ht="15" customHeight="1" x14ac:dyDescent="0.25">
      <c r="B13" s="69" t="s">
        <v>13</v>
      </c>
      <c r="C13" s="32">
        <v>0.10299999999999999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3.3099999999999997E-2</v>
      </c>
    </row>
    <row r="24" spans="1:3" ht="15" customHeight="1" x14ac:dyDescent="0.25">
      <c r="B24" s="7" t="s">
        <v>22</v>
      </c>
      <c r="C24" s="33">
        <v>0.41270000000000001</v>
      </c>
    </row>
    <row r="25" spans="1:3" ht="15" customHeight="1" x14ac:dyDescent="0.25">
      <c r="B25" s="7" t="s">
        <v>23</v>
      </c>
      <c r="C25" s="33">
        <v>0.50419999999999998</v>
      </c>
    </row>
    <row r="26" spans="1:3" ht="15" customHeight="1" x14ac:dyDescent="0.25">
      <c r="B26" s="7" t="s">
        <v>24</v>
      </c>
      <c r="C26" s="33">
        <v>0.05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0.29181609532021502</v>
      </c>
    </row>
    <row r="30" spans="1:3" ht="14.25" customHeight="1" x14ac:dyDescent="0.25">
      <c r="B30" s="15" t="s">
        <v>27</v>
      </c>
      <c r="C30" s="42">
        <v>5.8372304444056097E-2</v>
      </c>
    </row>
    <row r="31" spans="1:3" ht="14.25" customHeight="1" x14ac:dyDescent="0.25">
      <c r="B31" s="15" t="s">
        <v>28</v>
      </c>
      <c r="C31" s="42">
        <v>0.119823270172546</v>
      </c>
    </row>
    <row r="32" spans="1:3" ht="14.25" customHeight="1" x14ac:dyDescent="0.25">
      <c r="B32" s="15" t="s">
        <v>29</v>
      </c>
      <c r="C32" s="42">
        <v>0.52998833006318302</v>
      </c>
    </row>
    <row r="33" spans="1:5" ht="13.2" customHeight="1" x14ac:dyDescent="0.25">
      <c r="B33" s="16" t="s">
        <v>30</v>
      </c>
      <c r="C33" s="98">
        <f>SUM(C29:C32)</f>
        <v>1.0000000000000002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4.6142758806396804</v>
      </c>
    </row>
    <row r="38" spans="1:5" ht="15" customHeight="1" x14ac:dyDescent="0.25">
      <c r="B38" s="65" t="s">
        <v>34</v>
      </c>
      <c r="C38" s="94">
        <v>7.3207577873694802</v>
      </c>
      <c r="D38" s="5"/>
      <c r="E38" s="6"/>
    </row>
    <row r="39" spans="1:5" ht="15" customHeight="1" x14ac:dyDescent="0.25">
      <c r="B39" s="65" t="s">
        <v>35</v>
      </c>
      <c r="C39" s="94">
        <v>8.5514906597001605</v>
      </c>
      <c r="D39" s="5"/>
      <c r="E39" s="5"/>
    </row>
    <row r="40" spans="1:5" ht="15" customHeight="1" x14ac:dyDescent="0.25">
      <c r="B40" s="65" t="s">
        <v>36</v>
      </c>
      <c r="C40" s="94">
        <v>0.28999999999999998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5.4735252719999998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2.7425399999999999E-2</v>
      </c>
      <c r="D45" s="5"/>
    </row>
    <row r="46" spans="1:5" ht="15.75" customHeight="1" x14ac:dyDescent="0.25">
      <c r="B46" s="65" t="s">
        <v>41</v>
      </c>
      <c r="C46" s="33">
        <v>9.5629500000000006E-2</v>
      </c>
      <c r="D46" s="5"/>
    </row>
    <row r="47" spans="1:5" ht="15.75" customHeight="1" x14ac:dyDescent="0.25">
      <c r="B47" s="65" t="s">
        <v>42</v>
      </c>
      <c r="C47" s="33">
        <v>0.1802801</v>
      </c>
      <c r="D47" s="5"/>
      <c r="E47" s="6"/>
    </row>
    <row r="48" spans="1:5" ht="15" customHeight="1" x14ac:dyDescent="0.25">
      <c r="B48" s="65" t="s">
        <v>43</v>
      </c>
      <c r="C48" s="97">
        <v>0.69666499999999998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2.2000000000000002</v>
      </c>
      <c r="D51" s="5"/>
    </row>
    <row r="52" spans="1:4" ht="15" customHeight="1" x14ac:dyDescent="0.25">
      <c r="B52" s="65" t="s">
        <v>46</v>
      </c>
      <c r="C52" s="35">
        <v>2.2000000000000002</v>
      </c>
    </row>
    <row r="53" spans="1:4" ht="15.75" customHeight="1" x14ac:dyDescent="0.25">
      <c r="B53" s="65" t="s">
        <v>47</v>
      </c>
      <c r="C53" s="35">
        <v>2.2000000000000002</v>
      </c>
    </row>
    <row r="54" spans="1:4" ht="15.75" customHeight="1" x14ac:dyDescent="0.25">
      <c r="B54" s="65" t="s">
        <v>48</v>
      </c>
      <c r="C54" s="35">
        <v>2.2000000000000002</v>
      </c>
    </row>
    <row r="55" spans="1:4" ht="15.75" customHeight="1" x14ac:dyDescent="0.25">
      <c r="B55" s="65" t="s">
        <v>49</v>
      </c>
      <c r="C55" s="35">
        <v>2.2000000000000002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2.1363636363636359E-2</v>
      </c>
    </row>
    <row r="59" spans="1:4" ht="15.75" customHeight="1" x14ac:dyDescent="0.25">
      <c r="B59" s="65" t="s">
        <v>52</v>
      </c>
      <c r="C59" s="32">
        <v>0.59568500000000002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0.11349301000000001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</v>
      </c>
      <c r="C2" s="43">
        <v>0.95</v>
      </c>
      <c r="D2" s="86">
        <v>92.245047147143225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40.647032466246337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950.82377496430036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3.65004570019935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</v>
      </c>
      <c r="C10" s="43">
        <v>0.95</v>
      </c>
      <c r="D10" s="86">
        <v>13.77933191004225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</v>
      </c>
      <c r="C11" s="43">
        <v>0.95</v>
      </c>
      <c r="D11" s="86">
        <v>13.77933191004225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</v>
      </c>
      <c r="C12" s="43">
        <v>0.95</v>
      </c>
      <c r="D12" s="86">
        <v>13.77933191004225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</v>
      </c>
      <c r="C13" s="43">
        <v>0.95</v>
      </c>
      <c r="D13" s="86">
        <v>13.77933191004225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</v>
      </c>
      <c r="C14" s="43">
        <v>0.95</v>
      </c>
      <c r="D14" s="86">
        <v>13.77933191004225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</v>
      </c>
      <c r="C15" s="43">
        <v>0.95</v>
      </c>
      <c r="D15" s="86">
        <v>13.77933191004225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1.4860977099376029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21.758442885912821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21.758442885912821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0.98699999999999999</v>
      </c>
      <c r="C21" s="43">
        <v>0.95</v>
      </c>
      <c r="D21" s="86">
        <v>32.963044266470973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24.180959628055831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4.7588079536301482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0.249492873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</v>
      </c>
      <c r="C27" s="43">
        <v>0.95</v>
      </c>
      <c r="D27" s="86">
        <v>19.340697663417359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0.99</v>
      </c>
      <c r="C29" s="43">
        <v>0.95</v>
      </c>
      <c r="D29" s="86">
        <v>191.74008051799319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4.3398717631557826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3.2697777913707609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5.2784465228258819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0.94536330717917394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2.2000000000000002</v>
      </c>
      <c r="C2" s="13">
        <f>'Données pop de l''année de ref'!C52</f>
        <v>2.2000000000000002</v>
      </c>
      <c r="D2" s="13">
        <f>'Données pop de l''année de ref'!C53</f>
        <v>2.2000000000000002</v>
      </c>
      <c r="E2" s="13">
        <f>'Données pop de l''année de ref'!C54</f>
        <v>2.2000000000000002</v>
      </c>
      <c r="F2" s="13">
        <f>'Données pop de l''année de ref'!C55</f>
        <v>2.2000000000000002</v>
      </c>
    </row>
    <row r="3" spans="1:6" ht="15.75" customHeight="1" x14ac:dyDescent="0.25">
      <c r="A3" s="78" t="s">
        <v>203</v>
      </c>
      <c r="B3" s="13">
        <f>frac_mam_1month * 2.6</f>
        <v>0.21687307823148139</v>
      </c>
      <c r="C3" s="13">
        <f>frac_mam_1_5months * 2.6</f>
        <v>0.21687307823148139</v>
      </c>
      <c r="D3" s="13">
        <f>frac_mam_6_11months * 2.6</f>
        <v>0.22747089326963613</v>
      </c>
      <c r="E3" s="13">
        <f>frac_mam_12_23months * 2.6</f>
        <v>0.22028677790591786</v>
      </c>
      <c r="F3" s="13">
        <f>frac_mam_24_59months * 2.6</f>
        <v>0.16292941521529739</v>
      </c>
    </row>
    <row r="4" spans="1:6" ht="15.75" customHeight="1" x14ac:dyDescent="0.25">
      <c r="A4" s="78" t="s">
        <v>204</v>
      </c>
      <c r="B4" s="13">
        <f>frac_sam_1month * 2.6</f>
        <v>0.13623622441047503</v>
      </c>
      <c r="C4" s="13">
        <f>frac_sam_1_5months * 2.6</f>
        <v>0.13623622441047503</v>
      </c>
      <c r="D4" s="13">
        <f>frac_sam_6_11months * 2.6</f>
        <v>0.10579411827841896</v>
      </c>
      <c r="E4" s="13">
        <f>frac_sam_12_23months * 2.6</f>
        <v>8.8618239852306074E-2</v>
      </c>
      <c r="F4" s="13">
        <f>frac_sam_24_59months * 2.6</f>
        <v>5.485610173655768E-2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</v>
      </c>
      <c r="E2" s="47">
        <f>food_insecure</f>
        <v>0</v>
      </c>
      <c r="F2" s="47">
        <f>food_insecure</f>
        <v>0</v>
      </c>
      <c r="G2" s="47">
        <f>food_insecure</f>
        <v>0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</v>
      </c>
      <c r="F5" s="47">
        <f>food_insecure</f>
        <v>0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4.6999999999999993E-2</v>
      </c>
      <c r="D7" s="47">
        <f>diarrhoea_1_5mo*frac_diarrhea_severe</f>
        <v>4.6999999999999993E-2</v>
      </c>
      <c r="E7" s="47">
        <f>diarrhoea_6_11mo*frac_diarrhea_severe</f>
        <v>4.6999999999999993E-2</v>
      </c>
      <c r="F7" s="47">
        <f>diarrhoea_12_23mo*frac_diarrhea_severe</f>
        <v>4.6999999999999993E-2</v>
      </c>
      <c r="G7" s="47">
        <f>diarrhoea_24_59mo*frac_diarrhea_severe</f>
        <v>4.6999999999999993E-2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</v>
      </c>
      <c r="F8" s="47">
        <f>food_insecure</f>
        <v>0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</v>
      </c>
      <c r="F9" s="47">
        <f>food_insecure</f>
        <v>0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0.72</v>
      </c>
      <c r="E10" s="47">
        <f>IF(ISBLANK(comm_deliv), frac_children_health_facility,1)</f>
        <v>0.72</v>
      </c>
      <c r="F10" s="47">
        <f>IF(ISBLANK(comm_deliv), frac_children_health_facility,1)</f>
        <v>0.72</v>
      </c>
      <c r="G10" s="47">
        <f>IF(ISBLANK(comm_deliv), frac_children_health_facility,1)</f>
        <v>0.72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4.6999999999999993E-2</v>
      </c>
      <c r="D12" s="47">
        <f>diarrhoea_1_5mo*frac_diarrhea_severe</f>
        <v>4.6999999999999993E-2</v>
      </c>
      <c r="E12" s="47">
        <f>diarrhoea_6_11mo*frac_diarrhea_severe</f>
        <v>4.6999999999999993E-2</v>
      </c>
      <c r="F12" s="47">
        <f>diarrhoea_12_23mo*frac_diarrhea_severe</f>
        <v>4.6999999999999993E-2</v>
      </c>
      <c r="G12" s="47">
        <f>diarrhoea_24_59mo*frac_diarrhea_severe</f>
        <v>4.6999999999999993E-2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</v>
      </c>
      <c r="I15" s="47">
        <f>food_insecure</f>
        <v>0</v>
      </c>
      <c r="J15" s="47">
        <f>food_insecure</f>
        <v>0</v>
      </c>
      <c r="K15" s="47">
        <f>food_insecure</f>
        <v>0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0.62</v>
      </c>
      <c r="I18" s="47">
        <f>frac_PW_health_facility</f>
        <v>0.62</v>
      </c>
      <c r="J18" s="47">
        <f>frac_PW_health_facility</f>
        <v>0.62</v>
      </c>
      <c r="K18" s="47">
        <f>frac_PW_health_facility</f>
        <v>0.62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0.10299999999999999</v>
      </c>
      <c r="M24" s="47">
        <f>famplan_unmet_need</f>
        <v>0.10299999999999999</v>
      </c>
      <c r="N24" s="47">
        <f>famplan_unmet_need</f>
        <v>0.10299999999999999</v>
      </c>
      <c r="O24" s="47">
        <f>famplan_unmet_need</f>
        <v>0.10299999999999999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0.10780426177978536</v>
      </c>
      <c r="M25" s="47">
        <f>(1-food_insecure)*(0.49)+food_insecure*(0.7)</f>
        <v>0.49</v>
      </c>
      <c r="N25" s="47">
        <f>(1-food_insecure)*(0.49)+food_insecure*(0.7)</f>
        <v>0.49</v>
      </c>
      <c r="O25" s="47">
        <f>(1-food_insecure)*(0.49)+food_insecure*(0.7)</f>
        <v>0.49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4.6201826477050865E-2</v>
      </c>
      <c r="M26" s="47">
        <f>(1-food_insecure)*(0.21)+food_insecure*(0.3)</f>
        <v>0.21</v>
      </c>
      <c r="N26" s="47">
        <f>(1-food_insecure)*(0.21)+food_insecure*(0.3)</f>
        <v>0.21</v>
      </c>
      <c r="O26" s="47">
        <f>(1-food_insecure)*(0.21)+food_insecure*(0.3)</f>
        <v>0.21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6.6002609252929806E-2</v>
      </c>
      <c r="M27" s="47">
        <f>(1-food_insecure)*(0.3)</f>
        <v>0.3</v>
      </c>
      <c r="N27" s="47">
        <f>(1-food_insecure)*(0.3)</f>
        <v>0.3</v>
      </c>
      <c r="O27" s="47">
        <f>(1-food_insecure)*(0.3)</f>
        <v>0.3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0.77999130249023396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548043.46480000007</v>
      </c>
      <c r="C2" s="37">
        <v>1266000</v>
      </c>
      <c r="D2" s="37">
        <v>2910000</v>
      </c>
      <c r="E2" s="37">
        <v>2801000</v>
      </c>
      <c r="F2" s="37">
        <v>1968000</v>
      </c>
      <c r="G2" s="9">
        <f t="shared" ref="G2:G40" si="0">C2+D2+E2+F2</f>
        <v>8945000</v>
      </c>
      <c r="H2" s="9">
        <f t="shared" ref="H2:H40" si="1">(B2 + stillbirth*B2/(1000-stillbirth))/(1-abortion)</f>
        <v>626204.20910944801</v>
      </c>
      <c r="I2" s="9">
        <f t="shared" ref="I2:I40" si="2">G2-H2</f>
        <v>8318795.7908905521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547513.8354000001</v>
      </c>
      <c r="C3" s="37">
        <v>1251000</v>
      </c>
      <c r="D3" s="37">
        <v>2874000</v>
      </c>
      <c r="E3" s="37">
        <v>2867000</v>
      </c>
      <c r="F3" s="37">
        <v>2030000</v>
      </c>
      <c r="G3" s="9">
        <f t="shared" si="0"/>
        <v>9022000</v>
      </c>
      <c r="H3" s="9">
        <f t="shared" si="1"/>
        <v>625599.04513824894</v>
      </c>
      <c r="I3" s="9">
        <f t="shared" si="2"/>
        <v>8396400.9548617508</v>
      </c>
    </row>
    <row r="4" spans="1:9" ht="15.75" customHeight="1" x14ac:dyDescent="0.25">
      <c r="A4" s="69">
        <f t="shared" si="3"/>
        <v>2023</v>
      </c>
      <c r="B4" s="36">
        <v>546764.96760000009</v>
      </c>
      <c r="C4" s="37">
        <v>1239000</v>
      </c>
      <c r="D4" s="37">
        <v>2834000</v>
      </c>
      <c r="E4" s="37">
        <v>2921000</v>
      </c>
      <c r="F4" s="37">
        <v>2100000</v>
      </c>
      <c r="G4" s="9">
        <f t="shared" si="0"/>
        <v>9094000</v>
      </c>
      <c r="H4" s="9">
        <f t="shared" si="1"/>
        <v>624743.37547234434</v>
      </c>
      <c r="I4" s="9">
        <f t="shared" si="2"/>
        <v>8469256.6245276555</v>
      </c>
    </row>
    <row r="5" spans="1:9" ht="15.75" customHeight="1" x14ac:dyDescent="0.25">
      <c r="A5" s="69">
        <f t="shared" si="3"/>
        <v>2024</v>
      </c>
      <c r="B5" s="36">
        <v>545735.00100000016</v>
      </c>
      <c r="C5" s="37">
        <v>1230000</v>
      </c>
      <c r="D5" s="37">
        <v>2792000</v>
      </c>
      <c r="E5" s="37">
        <v>2965000</v>
      </c>
      <c r="F5" s="37">
        <v>2178000</v>
      </c>
      <c r="G5" s="9">
        <f t="shared" si="0"/>
        <v>9165000</v>
      </c>
      <c r="H5" s="9">
        <f t="shared" si="1"/>
        <v>623566.51731858926</v>
      </c>
      <c r="I5" s="9">
        <f t="shared" si="2"/>
        <v>8541433.4826814104</v>
      </c>
    </row>
    <row r="6" spans="1:9" ht="15.75" customHeight="1" x14ac:dyDescent="0.25">
      <c r="A6" s="69">
        <f t="shared" si="3"/>
        <v>2025</v>
      </c>
      <c r="B6" s="36">
        <v>544381.19999999995</v>
      </c>
      <c r="C6" s="37">
        <v>1224000</v>
      </c>
      <c r="D6" s="37">
        <v>2748000</v>
      </c>
      <c r="E6" s="37">
        <v>2997000</v>
      </c>
      <c r="F6" s="37">
        <v>2263000</v>
      </c>
      <c r="G6" s="9">
        <f t="shared" si="0"/>
        <v>9232000</v>
      </c>
      <c r="H6" s="9">
        <f t="shared" si="1"/>
        <v>622019.64022042684</v>
      </c>
      <c r="I6" s="9">
        <f t="shared" si="2"/>
        <v>8609980.359779574</v>
      </c>
    </row>
    <row r="7" spans="1:9" ht="15.75" customHeight="1" x14ac:dyDescent="0.25">
      <c r="A7" s="69">
        <f t="shared" si="3"/>
        <v>2026</v>
      </c>
      <c r="B7" s="36">
        <v>539632.19200000004</v>
      </c>
      <c r="C7" s="37">
        <v>1225000</v>
      </c>
      <c r="D7" s="37">
        <v>2706000</v>
      </c>
      <c r="E7" s="37">
        <v>3018000</v>
      </c>
      <c r="F7" s="37">
        <v>2354000</v>
      </c>
      <c r="G7" s="9">
        <f t="shared" si="0"/>
        <v>9303000</v>
      </c>
      <c r="H7" s="9">
        <f t="shared" si="1"/>
        <v>616593.33922479383</v>
      </c>
      <c r="I7" s="9">
        <f t="shared" si="2"/>
        <v>8686406.660775207</v>
      </c>
    </row>
    <row r="8" spans="1:9" ht="15.75" customHeight="1" x14ac:dyDescent="0.25">
      <c r="A8" s="69">
        <f t="shared" si="3"/>
        <v>2027</v>
      </c>
      <c r="B8" s="36">
        <v>534490.88</v>
      </c>
      <c r="C8" s="37">
        <v>1230000</v>
      </c>
      <c r="D8" s="37">
        <v>2666000</v>
      </c>
      <c r="E8" s="37">
        <v>3027000</v>
      </c>
      <c r="F8" s="37">
        <v>2450000</v>
      </c>
      <c r="G8" s="9">
        <f t="shared" si="0"/>
        <v>9373000</v>
      </c>
      <c r="H8" s="9">
        <f t="shared" si="1"/>
        <v>610718.78470215236</v>
      </c>
      <c r="I8" s="9">
        <f t="shared" si="2"/>
        <v>8762281.215297848</v>
      </c>
    </row>
    <row r="9" spans="1:9" ht="15.75" customHeight="1" x14ac:dyDescent="0.25">
      <c r="A9" s="69">
        <f t="shared" si="3"/>
        <v>2028</v>
      </c>
      <c r="B9" s="36">
        <v>528966.50400000007</v>
      </c>
      <c r="C9" s="37">
        <v>1238000</v>
      </c>
      <c r="D9" s="37">
        <v>2629000</v>
      </c>
      <c r="E9" s="37">
        <v>3024000</v>
      </c>
      <c r="F9" s="37">
        <v>2549000</v>
      </c>
      <c r="G9" s="9">
        <f t="shared" si="0"/>
        <v>9440000</v>
      </c>
      <c r="H9" s="9">
        <f t="shared" si="1"/>
        <v>604406.53444082395</v>
      </c>
      <c r="I9" s="9">
        <f t="shared" si="2"/>
        <v>8835593.4655591752</v>
      </c>
    </row>
    <row r="10" spans="1:9" ht="15.75" customHeight="1" x14ac:dyDescent="0.25">
      <c r="A10" s="69">
        <f t="shared" si="3"/>
        <v>2029</v>
      </c>
      <c r="B10" s="36">
        <v>523053.96000000008</v>
      </c>
      <c r="C10" s="37">
        <v>1247000</v>
      </c>
      <c r="D10" s="37">
        <v>2597000</v>
      </c>
      <c r="E10" s="37">
        <v>3013000</v>
      </c>
      <c r="F10" s="37">
        <v>2643000</v>
      </c>
      <c r="G10" s="9">
        <f t="shared" si="0"/>
        <v>9500000</v>
      </c>
      <c r="H10" s="9">
        <f t="shared" si="1"/>
        <v>597650.75651964021</v>
      </c>
      <c r="I10" s="9">
        <f t="shared" si="2"/>
        <v>8902349.2434803601</v>
      </c>
    </row>
    <row r="11" spans="1:9" ht="15.75" customHeight="1" x14ac:dyDescent="0.25">
      <c r="A11" s="69">
        <f t="shared" si="3"/>
        <v>2030</v>
      </c>
      <c r="B11" s="36">
        <v>516735.34</v>
      </c>
      <c r="C11" s="37">
        <v>1257000</v>
      </c>
      <c r="D11" s="37">
        <v>2571000</v>
      </c>
      <c r="E11" s="37">
        <v>2993000</v>
      </c>
      <c r="F11" s="37">
        <v>2727000</v>
      </c>
      <c r="G11" s="9">
        <f t="shared" si="0"/>
        <v>9548000</v>
      </c>
      <c r="H11" s="9">
        <f t="shared" si="1"/>
        <v>590430.98893933138</v>
      </c>
      <c r="I11" s="9">
        <f t="shared" si="2"/>
        <v>8957569.0110606682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2947953.8818914052</v>
      </c>
      <c r="I12" s="9">
        <f t="shared" si="2"/>
        <v>15635715.118108595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3005084.771075347</v>
      </c>
      <c r="I13" s="9">
        <f t="shared" si="2"/>
        <v>16169495.228924653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3073641.8380960776</v>
      </c>
      <c r="I14" s="9">
        <f t="shared" si="2"/>
        <v>16702614.161903922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3130772.7272800193</v>
      </c>
      <c r="I15" s="9">
        <f t="shared" si="2"/>
        <v>17255955.272719979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7.6905611158664802E-2</v>
      </c>
    </row>
    <row r="5" spans="1:8" ht="15.75" customHeight="1" x14ac:dyDescent="0.25">
      <c r="B5" s="11" t="s">
        <v>70</v>
      </c>
      <c r="C5" s="38">
        <v>1.7802592036688158E-2</v>
      </c>
    </row>
    <row r="6" spans="1:8" ht="15.75" customHeight="1" x14ac:dyDescent="0.25">
      <c r="B6" s="11" t="s">
        <v>71</v>
      </c>
      <c r="C6" s="38">
        <v>0.1248473002572091</v>
      </c>
    </row>
    <row r="7" spans="1:8" ht="15.75" customHeight="1" x14ac:dyDescent="0.25">
      <c r="B7" s="11" t="s">
        <v>72</v>
      </c>
      <c r="C7" s="38">
        <v>0.37513732737683558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0.27063192561096799</v>
      </c>
    </row>
    <row r="10" spans="1:8" ht="15.75" customHeight="1" x14ac:dyDescent="0.25">
      <c r="B10" s="11" t="s">
        <v>75</v>
      </c>
      <c r="C10" s="38">
        <v>0.13467524355963431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3.0645132393625409E-2</v>
      </c>
      <c r="D14" s="38">
        <v>3.0645132393625409E-2</v>
      </c>
      <c r="E14" s="38">
        <v>3.0645132393625409E-2</v>
      </c>
      <c r="F14" s="38">
        <v>3.0645132393625409E-2</v>
      </c>
    </row>
    <row r="15" spans="1:8" ht="15.75" customHeight="1" x14ac:dyDescent="0.25">
      <c r="B15" s="11" t="s">
        <v>82</v>
      </c>
      <c r="C15" s="38">
        <v>0.1014439841302152</v>
      </c>
      <c r="D15" s="38">
        <v>0.1014439841302152</v>
      </c>
      <c r="E15" s="38">
        <v>0.1014439841302152</v>
      </c>
      <c r="F15" s="38">
        <v>0.1014439841302152</v>
      </c>
    </row>
    <row r="16" spans="1:8" ht="15.75" customHeight="1" x14ac:dyDescent="0.25">
      <c r="B16" s="11" t="s">
        <v>83</v>
      </c>
      <c r="C16" s="38">
        <v>2.3559820235939371E-2</v>
      </c>
      <c r="D16" s="38">
        <v>2.3559820235939371E-2</v>
      </c>
      <c r="E16" s="38">
        <v>2.3559820235939371E-2</v>
      </c>
      <c r="F16" s="38">
        <v>2.3559820235939371E-2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1.0565489924239881E-3</v>
      </c>
      <c r="D18" s="38">
        <v>1.0565489924239881E-3</v>
      </c>
      <c r="E18" s="38">
        <v>1.0565489924239881E-3</v>
      </c>
      <c r="F18" s="38">
        <v>1.0565489924239881E-3</v>
      </c>
    </row>
    <row r="19" spans="1:8" ht="15.75" customHeight="1" x14ac:dyDescent="0.25">
      <c r="B19" s="11" t="s">
        <v>86</v>
      </c>
      <c r="C19" s="38">
        <v>3.7477562149270741E-2</v>
      </c>
      <c r="D19" s="38">
        <v>3.7477562149270741E-2</v>
      </c>
      <c r="E19" s="38">
        <v>3.7477562149270741E-2</v>
      </c>
      <c r="F19" s="38">
        <v>3.7477562149270741E-2</v>
      </c>
    </row>
    <row r="20" spans="1:8" ht="15.75" customHeight="1" x14ac:dyDescent="0.25">
      <c r="B20" s="11" t="s">
        <v>87</v>
      </c>
      <c r="C20" s="38">
        <v>1.158784076224521E-2</v>
      </c>
      <c r="D20" s="38">
        <v>1.158784076224521E-2</v>
      </c>
      <c r="E20" s="38">
        <v>1.158784076224521E-2</v>
      </c>
      <c r="F20" s="38">
        <v>1.158784076224521E-2</v>
      </c>
    </row>
    <row r="21" spans="1:8" ht="15.75" customHeight="1" x14ac:dyDescent="0.25">
      <c r="B21" s="11" t="s">
        <v>88</v>
      </c>
      <c r="C21" s="38">
        <v>0.15825678378914371</v>
      </c>
      <c r="D21" s="38">
        <v>0.15825678378914371</v>
      </c>
      <c r="E21" s="38">
        <v>0.15825678378914371</v>
      </c>
      <c r="F21" s="38">
        <v>0.15825678378914371</v>
      </c>
    </row>
    <row r="22" spans="1:8" ht="15.75" customHeight="1" x14ac:dyDescent="0.25">
      <c r="B22" s="11" t="s">
        <v>89</v>
      </c>
      <c r="C22" s="38">
        <v>0.63597232754713628</v>
      </c>
      <c r="D22" s="38">
        <v>0.63597232754713628</v>
      </c>
      <c r="E22" s="38">
        <v>0.63597232754713628</v>
      </c>
      <c r="F22" s="38">
        <v>0.63597232754713628</v>
      </c>
    </row>
    <row r="23" spans="1:8" ht="15.75" customHeight="1" x14ac:dyDescent="0.25">
      <c r="B23" s="16" t="s">
        <v>30</v>
      </c>
      <c r="C23" s="98">
        <f>SUM(C14:C22)</f>
        <v>0.99999999999999989</v>
      </c>
      <c r="D23" s="98">
        <f>SUM(D14:D22)</f>
        <v>0.99999999999999989</v>
      </c>
      <c r="E23" s="98">
        <f>SUM(E14:E22)</f>
        <v>0.99999999999999989</v>
      </c>
      <c r="F23" s="98">
        <f>SUM(F14:F22)</f>
        <v>0.99999999999999989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2.386251E-2</v>
      </c>
    </row>
    <row r="27" spans="1:8" ht="15.75" customHeight="1" x14ac:dyDescent="0.25">
      <c r="B27" s="11" t="s">
        <v>92</v>
      </c>
      <c r="C27" s="38">
        <v>5.5546280000000007E-3</v>
      </c>
    </row>
    <row r="28" spans="1:8" ht="15.75" customHeight="1" x14ac:dyDescent="0.25">
      <c r="B28" s="11" t="s">
        <v>93</v>
      </c>
      <c r="C28" s="38">
        <v>0.152936821</v>
      </c>
    </row>
    <row r="29" spans="1:8" ht="15.75" customHeight="1" x14ac:dyDescent="0.25">
      <c r="B29" s="11" t="s">
        <v>94</v>
      </c>
      <c r="C29" s="38">
        <v>0.11069707199999999</v>
      </c>
    </row>
    <row r="30" spans="1:8" ht="15.75" customHeight="1" x14ac:dyDescent="0.25">
      <c r="B30" s="11" t="s">
        <v>95</v>
      </c>
      <c r="C30" s="38">
        <v>5.7770492999999999E-2</v>
      </c>
    </row>
    <row r="31" spans="1:8" ht="15.75" customHeight="1" x14ac:dyDescent="0.25">
      <c r="B31" s="11" t="s">
        <v>96</v>
      </c>
      <c r="C31" s="38">
        <v>9.4773582999999995E-2</v>
      </c>
    </row>
    <row r="32" spans="1:8" ht="15.75" customHeight="1" x14ac:dyDescent="0.25">
      <c r="B32" s="11" t="s">
        <v>97</v>
      </c>
      <c r="C32" s="38">
        <v>0.20791595299999999</v>
      </c>
    </row>
    <row r="33" spans="2:3" ht="15.75" customHeight="1" x14ac:dyDescent="0.25">
      <c r="B33" s="11" t="s">
        <v>98</v>
      </c>
      <c r="C33" s="38">
        <v>0.13742104999999999</v>
      </c>
    </row>
    <row r="34" spans="2:3" ht="15.75" customHeight="1" x14ac:dyDescent="0.25">
      <c r="B34" s="11" t="s">
        <v>99</v>
      </c>
      <c r="C34" s="38">
        <v>0.20906789100000001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0.475058054954691</v>
      </c>
      <c r="D2" s="99">
        <f>IFERROR(1-_xlfn.NORM.DIST(_xlfn.NORM.INV(SUM(D4:D5), 0, 1) + 1, 0, 1, TRUE), "")</f>
        <v>0.475058054954691</v>
      </c>
      <c r="E2" s="99">
        <f>IFERROR(1-_xlfn.NORM.DIST(_xlfn.NORM.INV(SUM(E4:E5), 0, 1) + 1, 0, 1, TRUE), "")</f>
        <v>0.43360856792538005</v>
      </c>
      <c r="F2" s="99">
        <f>IFERROR(1-_xlfn.NORM.DIST(_xlfn.NORM.INV(SUM(F4:F5), 0, 1) + 1, 0, 1, TRUE), "")</f>
        <v>0.25352656323337064</v>
      </c>
      <c r="G2" s="99">
        <f>IFERROR(1-_xlfn.NORM.DIST(_xlfn.NORM.INV(SUM(G4:G5), 0, 1) + 1, 0, 1, TRUE), "")</f>
        <v>0.2216194680768302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0.35067555891294439</v>
      </c>
      <c r="D3" s="99">
        <f>IFERROR(_xlfn.NORM.DIST(_xlfn.NORM.INV(SUM(D4:D5), 0, 1) + 1, 0, 1, TRUE) - SUM(D4:D5), "")</f>
        <v>0.35067555891294439</v>
      </c>
      <c r="E3" s="99">
        <f>IFERROR(_xlfn.NORM.DIST(_xlfn.NORM.INV(SUM(E4:E5), 0, 1) + 1, 0, 1, TRUE) - SUM(E4:E5), "")</f>
        <v>0.36391426034255342</v>
      </c>
      <c r="F3" s="99">
        <f>IFERROR(_xlfn.NORM.DIST(_xlfn.NORM.INV(SUM(F4:F5), 0, 1) + 1, 0, 1, TRUE) - SUM(F4:F5), "")</f>
        <v>0.3782516801061524</v>
      </c>
      <c r="G3" s="99">
        <f>IFERROR(_xlfn.NORM.DIST(_xlfn.NORM.INV(SUM(G4:G5), 0, 1) + 1, 0, 1, TRUE) - SUM(G4:G5), "")</f>
        <v>0.37060261428526581</v>
      </c>
    </row>
    <row r="4" spans="1:15" ht="15.75" customHeight="1" x14ac:dyDescent="0.25">
      <c r="B4" s="69" t="s">
        <v>104</v>
      </c>
      <c r="C4" s="39">
        <v>0.10193014049492501</v>
      </c>
      <c r="D4" s="39">
        <v>0.10193014049492501</v>
      </c>
      <c r="E4" s="39">
        <v>0.12596887628672501</v>
      </c>
      <c r="F4" s="39">
        <v>0.21533782150803599</v>
      </c>
      <c r="G4" s="39">
        <v>0.23684384633384001</v>
      </c>
    </row>
    <row r="5" spans="1:15" ht="15.75" customHeight="1" x14ac:dyDescent="0.25">
      <c r="B5" s="69" t="s">
        <v>105</v>
      </c>
      <c r="C5" s="39">
        <v>7.2336245637439595E-2</v>
      </c>
      <c r="D5" s="39">
        <v>7.2336245637439595E-2</v>
      </c>
      <c r="E5" s="39">
        <v>7.6508295445341504E-2</v>
      </c>
      <c r="F5" s="39">
        <v>0.152883935152441</v>
      </c>
      <c r="G5" s="39">
        <v>0.17093407130406399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0.53956333682015789</v>
      </c>
      <c r="D8" s="99">
        <f>IFERROR(1-_xlfn.NORM.DIST(_xlfn.NORM.INV(SUM(D10:D11), 0, 1) + 1, 0, 1, TRUE), "")</f>
        <v>0.53956333682015789</v>
      </c>
      <c r="E8" s="99">
        <f>IFERROR(1-_xlfn.NORM.DIST(_xlfn.NORM.INV(SUM(E10:E11), 0, 1) + 1, 0, 1, TRUE), "")</f>
        <v>0.55371068519441824</v>
      </c>
      <c r="F8" s="99">
        <f>IFERROR(1-_xlfn.NORM.DIST(_xlfn.NORM.INV(SUM(F10:F11), 0, 1) + 1, 0, 1, TRUE), "")</f>
        <v>0.57179989067807235</v>
      </c>
      <c r="G8" s="99">
        <f>IFERROR(1-_xlfn.NORM.DIST(_xlfn.NORM.INV(SUM(G10:G11), 0, 1) + 1, 0, 1, TRUE), "")</f>
        <v>0.6480988115395635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0.3246253929329358</v>
      </c>
      <c r="D9" s="99">
        <f>IFERROR(_xlfn.NORM.DIST(_xlfn.NORM.INV(SUM(D10:D11), 0, 1) + 1, 0, 1, TRUE) - SUM(D10:D11), "")</f>
        <v>0.3246253929329358</v>
      </c>
      <c r="E9" s="99">
        <f>IFERROR(_xlfn.NORM.DIST(_xlfn.NORM.INV(SUM(E10:E11), 0, 1) + 1, 0, 1, TRUE) - SUM(E10:E11), "")</f>
        <v>0.31811046421017597</v>
      </c>
      <c r="F9" s="99">
        <f>IFERROR(_xlfn.NORM.DIST(_xlfn.NORM.INV(SUM(F10:F11), 0, 1) + 1, 0, 1, TRUE) - SUM(F10:F11), "")</f>
        <v>0.30939048710722616</v>
      </c>
      <c r="G9" s="99">
        <f>IFERROR(_xlfn.NORM.DIST(_xlfn.NORM.INV(SUM(G10:G11), 0, 1) + 1, 0, 1, TRUE) - SUM(G10:G11), "")</f>
        <v>0.26813752809433844</v>
      </c>
    </row>
    <row r="10" spans="1:15" ht="15.75" customHeight="1" x14ac:dyDescent="0.25">
      <c r="B10" s="69" t="s">
        <v>109</v>
      </c>
      <c r="C10" s="39">
        <v>8.3412722396723607E-2</v>
      </c>
      <c r="D10" s="39">
        <v>8.3412722396723607E-2</v>
      </c>
      <c r="E10" s="39">
        <v>8.7488805103706199E-2</v>
      </c>
      <c r="F10" s="39">
        <v>8.4725683809968408E-2</v>
      </c>
      <c r="G10" s="39">
        <v>6.2665159698191295E-2</v>
      </c>
    </row>
    <row r="11" spans="1:15" ht="15.75" customHeight="1" x14ac:dyDescent="0.25">
      <c r="B11" s="69" t="s">
        <v>110</v>
      </c>
      <c r="C11" s="39">
        <v>5.2398547850182699E-2</v>
      </c>
      <c r="D11" s="39">
        <v>5.2398547850182699E-2</v>
      </c>
      <c r="E11" s="39">
        <v>4.0690045491699599E-2</v>
      </c>
      <c r="F11" s="39">
        <v>3.4083938404733102E-2</v>
      </c>
      <c r="G11" s="39">
        <v>2.1098500667906799E-2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0.20510380375000001</v>
      </c>
      <c r="D14" s="40">
        <v>0.18616108902699999</v>
      </c>
      <c r="E14" s="40">
        <v>0.18616108902699999</v>
      </c>
      <c r="F14" s="40">
        <v>0.111192412666</v>
      </c>
      <c r="G14" s="40">
        <v>0.111192412666</v>
      </c>
      <c r="H14" s="41">
        <v>0.371</v>
      </c>
      <c r="I14" s="41">
        <v>0.371</v>
      </c>
      <c r="J14" s="41">
        <v>0.371</v>
      </c>
      <c r="K14" s="41">
        <v>0.371</v>
      </c>
      <c r="L14" s="41">
        <v>0.24399999999999999</v>
      </c>
      <c r="M14" s="41">
        <v>0.24399999999999999</v>
      </c>
      <c r="N14" s="41">
        <v>0.24399999999999999</v>
      </c>
      <c r="O14" s="41">
        <v>0.24399999999999999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0.12217725933681876</v>
      </c>
      <c r="D15" s="99">
        <f t="shared" si="0"/>
        <v>0.11089336831704849</v>
      </c>
      <c r="E15" s="99">
        <f t="shared" si="0"/>
        <v>0.11089336831704849</v>
      </c>
      <c r="F15" s="99">
        <f t="shared" si="0"/>
        <v>6.623565233894621E-2</v>
      </c>
      <c r="G15" s="99">
        <f t="shared" si="0"/>
        <v>6.623565233894621E-2</v>
      </c>
      <c r="H15" s="99">
        <f t="shared" si="0"/>
        <v>0.22099913500000001</v>
      </c>
      <c r="I15" s="99">
        <f t="shared" si="0"/>
        <v>0.22099913500000001</v>
      </c>
      <c r="J15" s="99">
        <f t="shared" si="0"/>
        <v>0.22099913500000001</v>
      </c>
      <c r="K15" s="99">
        <f t="shared" si="0"/>
        <v>0.22099913500000001</v>
      </c>
      <c r="L15" s="99">
        <f t="shared" si="0"/>
        <v>0.14534714000000001</v>
      </c>
      <c r="M15" s="99">
        <f t="shared" si="0"/>
        <v>0.14534714000000001</v>
      </c>
      <c r="N15" s="99">
        <f t="shared" si="0"/>
        <v>0.14534714000000001</v>
      </c>
      <c r="O15" s="99">
        <f t="shared" si="0"/>
        <v>0.14534714000000001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0.62783992564380298</v>
      </c>
      <c r="D2" s="39">
        <v>0.43262884734375001</v>
      </c>
      <c r="E2" s="39"/>
      <c r="F2" s="39"/>
      <c r="G2" s="39"/>
    </row>
    <row r="3" spans="1:7" x14ac:dyDescent="0.25">
      <c r="B3" s="78" t="s">
        <v>120</v>
      </c>
      <c r="C3" s="39">
        <v>0.14720586077719799</v>
      </c>
      <c r="D3" s="39">
        <v>0.177978600203125</v>
      </c>
      <c r="E3" s="39"/>
      <c r="F3" s="39"/>
      <c r="G3" s="39"/>
    </row>
    <row r="4" spans="1:7" x14ac:dyDescent="0.25">
      <c r="B4" s="78" t="s">
        <v>121</v>
      </c>
      <c r="C4" s="39">
        <v>0.18765317901068701</v>
      </c>
      <c r="D4" s="39">
        <v>0.32684205140624989</v>
      </c>
      <c r="E4" s="39">
        <v>0.87710333811609398</v>
      </c>
      <c r="F4" s="39">
        <v>0.70024838180918392</v>
      </c>
      <c r="G4" s="39"/>
    </row>
    <row r="5" spans="1:7" x14ac:dyDescent="0.25">
      <c r="B5" s="78" t="s">
        <v>122</v>
      </c>
      <c r="C5" s="100">
        <v>3.74988743882404E-2</v>
      </c>
      <c r="D5" s="100">
        <v>6.2550492506879399E-2</v>
      </c>
      <c r="E5" s="100">
        <f>1-E2-E3-E4</f>
        <v>0.12289666188390602</v>
      </c>
      <c r="F5" s="100">
        <f>1-F2-F3-F4</f>
        <v>0.29975161819081608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2023-01-25T00:43:32Z</dcterms:modified>
</cp:coreProperties>
</file>